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ruga računala\Moj Računalo\Obrt acta\2023 - rad\51_Satura - višestambena Dežmanova\"/>
    </mc:Choice>
  </mc:AlternateContent>
  <bookViews>
    <workbookView xWindow="0" yWindow="495" windowWidth="51195" windowHeight="26265" tabRatio="696"/>
  </bookViews>
  <sheets>
    <sheet name="Troškovnik-BEZ CIJENE" sheetId="35" r:id="rId1"/>
    <sheet name="Troškovnik - ostali radovi-BEZ " sheetId="36" r:id="rId2"/>
    <sheet name="SVEUKUPNA REKAPITULACIJA" sheetId="37" r:id="rId3"/>
  </sheets>
  <externalReferences>
    <externalReference r:id="rId4"/>
    <externalReference r:id="rId5"/>
  </externalReferences>
  <definedNames>
    <definedName name="_________ko1" localSheetId="1">'[1]01'!#REF!</definedName>
    <definedName name="_________ko1" localSheetId="0">'[1]01'!#REF!</definedName>
    <definedName name="_________ko1">'[1]01'!#REF!</definedName>
    <definedName name="_________ko15" localSheetId="1">'[1]15'!#REF!</definedName>
    <definedName name="_________ko15" localSheetId="0">'[1]15'!#REF!</definedName>
    <definedName name="_________ko15">'[1]15'!#REF!</definedName>
    <definedName name="_________ko16" localSheetId="1">'[1]16'!#REF!</definedName>
    <definedName name="_________ko16" localSheetId="0">'[1]16'!#REF!</definedName>
    <definedName name="_________ko16">'[1]16'!#REF!</definedName>
    <definedName name="_________ko19" localSheetId="1">'[1]19'!#REF!</definedName>
    <definedName name="_________ko19" localSheetId="0">'[1]19'!#REF!</definedName>
    <definedName name="_________ko19">'[1]19'!#REF!</definedName>
    <definedName name="_________ko2" localSheetId="1">'[1]02'!#REF!</definedName>
    <definedName name="_________ko2" localSheetId="0">'[1]02'!#REF!</definedName>
    <definedName name="_________ko2">'[1]02'!#REF!</definedName>
    <definedName name="_________ko21" localSheetId="1">'[1]21'!#REF!</definedName>
    <definedName name="_________ko21" localSheetId="0">'[1]21'!#REF!</definedName>
    <definedName name="_________ko21">'[1]21'!#REF!</definedName>
    <definedName name="_________ko22" localSheetId="1">'[1]22'!#REF!</definedName>
    <definedName name="_________ko22" localSheetId="0">'[1]22'!#REF!</definedName>
    <definedName name="_________ko22">'[1]22'!#REF!</definedName>
    <definedName name="_________ko23" localSheetId="1">'[1]23'!#REF!</definedName>
    <definedName name="_________ko23" localSheetId="0">'[1]23'!#REF!</definedName>
    <definedName name="_________ko23">'[1]23'!#REF!</definedName>
    <definedName name="_________ko24" localSheetId="1">'[1]24'!#REF!</definedName>
    <definedName name="_________ko24" localSheetId="0">'[1]24'!#REF!</definedName>
    <definedName name="_________ko24">'[1]24'!#REF!</definedName>
    <definedName name="_________ko26" localSheetId="1">'[1]26'!#REF!</definedName>
    <definedName name="_________ko26" localSheetId="0">'[1]26'!#REF!</definedName>
    <definedName name="_________ko26">'[1]26'!#REF!</definedName>
    <definedName name="_________ko3" localSheetId="1">'[1]03'!#REF!</definedName>
    <definedName name="_________ko3" localSheetId="0">'[1]03'!#REF!</definedName>
    <definedName name="_________ko3">'[1]03'!#REF!</definedName>
    <definedName name="_________ko35" localSheetId="1">'[1]35'!#REF!</definedName>
    <definedName name="_________ko35" localSheetId="0">'[1]35'!#REF!</definedName>
    <definedName name="_________ko35">'[1]35'!#REF!</definedName>
    <definedName name="_________ko39" localSheetId="1">'[1]39'!#REF!</definedName>
    <definedName name="_________ko39" localSheetId="0">'[1]39'!#REF!</definedName>
    <definedName name="_________ko39">'[1]39'!#REF!</definedName>
    <definedName name="_________ko40" localSheetId="1">'[1]40'!#REF!</definedName>
    <definedName name="_________ko40" localSheetId="0">'[1]40'!#REF!</definedName>
    <definedName name="_________ko40">'[1]40'!#REF!</definedName>
    <definedName name="_________ko6" localSheetId="1">#REF!</definedName>
    <definedName name="_________ko6" localSheetId="0">#REF!</definedName>
    <definedName name="_________ko6">#REF!</definedName>
    <definedName name="_________ko7" localSheetId="1">'[1]07'!#REF!</definedName>
    <definedName name="_________ko7" localSheetId="0">'[1]07'!#REF!</definedName>
    <definedName name="_________ko7">'[1]07'!#REF!</definedName>
    <definedName name="_________RR131" localSheetId="1">#REF!</definedName>
    <definedName name="_________RR131" localSheetId="0">#REF!</definedName>
    <definedName name="_________RR131">#REF!</definedName>
    <definedName name="_______ko1" localSheetId="1">'[1]01'!#REF!</definedName>
    <definedName name="_______ko1" localSheetId="0">'[1]01'!#REF!</definedName>
    <definedName name="_______ko1">'[1]01'!#REF!</definedName>
    <definedName name="_______ko15" localSheetId="1">'[1]15'!#REF!</definedName>
    <definedName name="_______ko15" localSheetId="0">'[1]15'!#REF!</definedName>
    <definedName name="_______ko15">'[1]15'!#REF!</definedName>
    <definedName name="_______ko16" localSheetId="1">'[1]16'!#REF!</definedName>
    <definedName name="_______ko16" localSheetId="0">'[1]16'!#REF!</definedName>
    <definedName name="_______ko16">'[1]16'!#REF!</definedName>
    <definedName name="_______ko19" localSheetId="1">'[1]19'!#REF!</definedName>
    <definedName name="_______ko19" localSheetId="0">'[1]19'!#REF!</definedName>
    <definedName name="_______ko19">'[1]19'!#REF!</definedName>
    <definedName name="_______ko2" localSheetId="1">'[1]02'!#REF!</definedName>
    <definedName name="_______ko2" localSheetId="0">'[1]02'!#REF!</definedName>
    <definedName name="_______ko2">'[1]02'!#REF!</definedName>
    <definedName name="_______ko21" localSheetId="1">'[1]21'!#REF!</definedName>
    <definedName name="_______ko21" localSheetId="0">'[1]21'!#REF!</definedName>
    <definedName name="_______ko21">'[1]21'!#REF!</definedName>
    <definedName name="_______ko22" localSheetId="1">'[1]22'!#REF!</definedName>
    <definedName name="_______ko22" localSheetId="0">'[1]22'!#REF!</definedName>
    <definedName name="_______ko22">'[1]22'!#REF!</definedName>
    <definedName name="_______ko23" localSheetId="1">'[1]23'!#REF!</definedName>
    <definedName name="_______ko23" localSheetId="0">'[1]23'!#REF!</definedName>
    <definedName name="_______ko23">'[1]23'!#REF!</definedName>
    <definedName name="_______ko24" localSheetId="1">'[1]24'!#REF!</definedName>
    <definedName name="_______ko24" localSheetId="0">'[1]24'!#REF!</definedName>
    <definedName name="_______ko24">'[1]24'!#REF!</definedName>
    <definedName name="_______ko26" localSheetId="1">'[1]26'!#REF!</definedName>
    <definedName name="_______ko26" localSheetId="0">'[1]26'!#REF!</definedName>
    <definedName name="_______ko26">'[1]26'!#REF!</definedName>
    <definedName name="_______ko3" localSheetId="1">'[1]03'!#REF!</definedName>
    <definedName name="_______ko3" localSheetId="0">'[1]03'!#REF!</definedName>
    <definedName name="_______ko3">'[1]03'!#REF!</definedName>
    <definedName name="_______ko35" localSheetId="1">'[1]35'!#REF!</definedName>
    <definedName name="_______ko35" localSheetId="0">'[1]35'!#REF!</definedName>
    <definedName name="_______ko35">'[1]35'!#REF!</definedName>
    <definedName name="_______ko39" localSheetId="1">'[1]39'!#REF!</definedName>
    <definedName name="_______ko39" localSheetId="0">'[1]39'!#REF!</definedName>
    <definedName name="_______ko39">'[1]39'!#REF!</definedName>
    <definedName name="_______ko40" localSheetId="1">'[1]40'!#REF!</definedName>
    <definedName name="_______ko40" localSheetId="0">'[1]40'!#REF!</definedName>
    <definedName name="_______ko40">'[1]40'!#REF!</definedName>
    <definedName name="_______ko6" localSheetId="1">#REF!</definedName>
    <definedName name="_______ko6" localSheetId="0">#REF!</definedName>
    <definedName name="_______ko6">#REF!</definedName>
    <definedName name="_______ko7" localSheetId="1">'[1]07'!#REF!</definedName>
    <definedName name="_______ko7" localSheetId="0">'[1]07'!#REF!</definedName>
    <definedName name="_______ko7">'[1]07'!#REF!</definedName>
    <definedName name="_______RR131" localSheetId="1">#REF!</definedName>
    <definedName name="_______RR131" localSheetId="0">#REF!</definedName>
    <definedName name="_______RR131">#REF!</definedName>
    <definedName name="______ko1" localSheetId="1">'[1]01'!#REF!</definedName>
    <definedName name="______ko1" localSheetId="0">'[1]01'!#REF!</definedName>
    <definedName name="______ko1">'[1]01'!#REF!</definedName>
    <definedName name="______ko15" localSheetId="1">'[1]15'!#REF!</definedName>
    <definedName name="______ko15" localSheetId="0">'[1]15'!#REF!</definedName>
    <definedName name="______ko15">'[1]15'!#REF!</definedName>
    <definedName name="______ko16" localSheetId="1">'[1]16'!#REF!</definedName>
    <definedName name="______ko16" localSheetId="0">'[1]16'!#REF!</definedName>
    <definedName name="______ko16">'[1]16'!#REF!</definedName>
    <definedName name="______ko19" localSheetId="1">'[1]19'!#REF!</definedName>
    <definedName name="______ko19" localSheetId="0">'[1]19'!#REF!</definedName>
    <definedName name="______ko19">'[1]19'!#REF!</definedName>
    <definedName name="______ko2" localSheetId="1">'[1]02'!#REF!</definedName>
    <definedName name="______ko2" localSheetId="0">'[1]02'!#REF!</definedName>
    <definedName name="______ko2">'[1]02'!#REF!</definedName>
    <definedName name="______ko21" localSheetId="1">'[1]21'!#REF!</definedName>
    <definedName name="______ko21" localSheetId="0">'[1]21'!#REF!</definedName>
    <definedName name="______ko21">'[1]21'!#REF!</definedName>
    <definedName name="______ko22" localSheetId="1">'[1]22'!#REF!</definedName>
    <definedName name="______ko22" localSheetId="0">'[1]22'!#REF!</definedName>
    <definedName name="______ko22">'[1]22'!#REF!</definedName>
    <definedName name="______ko23" localSheetId="1">'[1]23'!#REF!</definedName>
    <definedName name="______ko23" localSheetId="0">'[1]23'!#REF!</definedName>
    <definedName name="______ko23">'[1]23'!#REF!</definedName>
    <definedName name="______ko24" localSheetId="1">'[1]24'!#REF!</definedName>
    <definedName name="______ko24" localSheetId="0">'[1]24'!#REF!</definedName>
    <definedName name="______ko24">'[1]24'!#REF!</definedName>
    <definedName name="______ko26" localSheetId="1">'[1]26'!#REF!</definedName>
    <definedName name="______ko26" localSheetId="0">'[1]26'!#REF!</definedName>
    <definedName name="______ko26">'[1]26'!#REF!</definedName>
    <definedName name="______ko3" localSheetId="1">'[1]03'!#REF!</definedName>
    <definedName name="______ko3" localSheetId="0">'[1]03'!#REF!</definedName>
    <definedName name="______ko3">'[1]03'!#REF!</definedName>
    <definedName name="______ko35" localSheetId="1">'[1]35'!#REF!</definedName>
    <definedName name="______ko35" localSheetId="0">'[1]35'!#REF!</definedName>
    <definedName name="______ko35">'[1]35'!#REF!</definedName>
    <definedName name="______ko39" localSheetId="1">'[1]39'!#REF!</definedName>
    <definedName name="______ko39" localSheetId="0">'[1]39'!#REF!</definedName>
    <definedName name="______ko39">'[1]39'!#REF!</definedName>
    <definedName name="______ko40" localSheetId="1">'[1]40'!#REF!</definedName>
    <definedName name="______ko40" localSheetId="0">'[1]40'!#REF!</definedName>
    <definedName name="______ko40">'[1]40'!#REF!</definedName>
    <definedName name="______ko6" localSheetId="1">#REF!</definedName>
    <definedName name="______ko6" localSheetId="0">#REF!</definedName>
    <definedName name="______ko6">#REF!</definedName>
    <definedName name="______ko7" localSheetId="1">'[1]07'!#REF!</definedName>
    <definedName name="______ko7" localSheetId="0">'[1]07'!#REF!</definedName>
    <definedName name="______ko7">'[1]07'!#REF!</definedName>
    <definedName name="______RR131" localSheetId="1">#REF!</definedName>
    <definedName name="______RR131" localSheetId="0">#REF!</definedName>
    <definedName name="______RR131">#REF!</definedName>
    <definedName name="_____ko1" localSheetId="1">'[1]01'!#REF!</definedName>
    <definedName name="_____ko1" localSheetId="0">'[1]01'!#REF!</definedName>
    <definedName name="_____ko1">'[1]01'!#REF!</definedName>
    <definedName name="_____ko15" localSheetId="1">'[1]15'!#REF!</definedName>
    <definedName name="_____ko15" localSheetId="0">'[1]15'!#REF!</definedName>
    <definedName name="_____ko15">'[1]15'!#REF!</definedName>
    <definedName name="_____ko16" localSheetId="1">'[1]16'!#REF!</definedName>
    <definedName name="_____ko16" localSheetId="0">'[1]16'!#REF!</definedName>
    <definedName name="_____ko16">'[1]16'!#REF!</definedName>
    <definedName name="_____ko19" localSheetId="1">'[1]19'!#REF!</definedName>
    <definedName name="_____ko19" localSheetId="0">'[1]19'!#REF!</definedName>
    <definedName name="_____ko19">'[1]19'!#REF!</definedName>
    <definedName name="_____ko2" localSheetId="1">'[1]02'!#REF!</definedName>
    <definedName name="_____ko2" localSheetId="0">'[1]02'!#REF!</definedName>
    <definedName name="_____ko2">'[1]02'!#REF!</definedName>
    <definedName name="_____ko21" localSheetId="1">'[1]21'!#REF!</definedName>
    <definedName name="_____ko21" localSheetId="0">'[1]21'!#REF!</definedName>
    <definedName name="_____ko21">'[1]21'!#REF!</definedName>
    <definedName name="_____ko22" localSheetId="1">'[1]22'!#REF!</definedName>
    <definedName name="_____ko22" localSheetId="0">'[1]22'!#REF!</definedName>
    <definedName name="_____ko22">'[1]22'!#REF!</definedName>
    <definedName name="_____ko23" localSheetId="1">'[1]23'!#REF!</definedName>
    <definedName name="_____ko23" localSheetId="0">'[1]23'!#REF!</definedName>
    <definedName name="_____ko23">'[1]23'!#REF!</definedName>
    <definedName name="_____ko24" localSheetId="1">'[1]24'!#REF!</definedName>
    <definedName name="_____ko24" localSheetId="0">'[1]24'!#REF!</definedName>
    <definedName name="_____ko24">'[1]24'!#REF!</definedName>
    <definedName name="_____ko26" localSheetId="1">'[1]26'!#REF!</definedName>
    <definedName name="_____ko26" localSheetId="0">'[1]26'!#REF!</definedName>
    <definedName name="_____ko26">'[1]26'!#REF!</definedName>
    <definedName name="_____ko3" localSheetId="1">'[1]03'!#REF!</definedName>
    <definedName name="_____ko3" localSheetId="0">'[1]03'!#REF!</definedName>
    <definedName name="_____ko3">'[1]03'!#REF!</definedName>
    <definedName name="_____ko35" localSheetId="1">'[1]35'!#REF!</definedName>
    <definedName name="_____ko35" localSheetId="0">'[1]35'!#REF!</definedName>
    <definedName name="_____ko35">'[1]35'!#REF!</definedName>
    <definedName name="_____ko39" localSheetId="1">'[1]39'!#REF!</definedName>
    <definedName name="_____ko39" localSheetId="0">'[1]39'!#REF!</definedName>
    <definedName name="_____ko39">'[1]39'!#REF!</definedName>
    <definedName name="_____ko40" localSheetId="1">'[1]40'!#REF!</definedName>
    <definedName name="_____ko40" localSheetId="0">'[1]40'!#REF!</definedName>
    <definedName name="_____ko40">'[1]40'!#REF!</definedName>
    <definedName name="_____ko6" localSheetId="1">#REF!</definedName>
    <definedName name="_____ko6" localSheetId="0">#REF!</definedName>
    <definedName name="_____ko6">#REF!</definedName>
    <definedName name="_____ko7" localSheetId="1">'[1]07'!#REF!</definedName>
    <definedName name="_____ko7" localSheetId="0">'[1]07'!#REF!</definedName>
    <definedName name="_____ko7">'[1]07'!#REF!</definedName>
    <definedName name="_____RR131" localSheetId="1">#REF!</definedName>
    <definedName name="_____RR131" localSheetId="0">#REF!</definedName>
    <definedName name="_____RR131">#REF!</definedName>
    <definedName name="___ko1" localSheetId="1">'[1]01'!#REF!</definedName>
    <definedName name="___ko1" localSheetId="0">'[1]01'!#REF!</definedName>
    <definedName name="___ko1">'[1]01'!#REF!</definedName>
    <definedName name="___ko15" localSheetId="1">'[1]15'!#REF!</definedName>
    <definedName name="___ko15" localSheetId="0">'[1]15'!#REF!</definedName>
    <definedName name="___ko15">'[1]15'!#REF!</definedName>
    <definedName name="___ko16" localSheetId="1">'[1]16'!#REF!</definedName>
    <definedName name="___ko16" localSheetId="0">'[1]16'!#REF!</definedName>
    <definedName name="___ko16">'[1]16'!#REF!</definedName>
    <definedName name="___ko19" localSheetId="1">'[1]19'!#REF!</definedName>
    <definedName name="___ko19" localSheetId="0">'[1]19'!#REF!</definedName>
    <definedName name="___ko19">'[1]19'!#REF!</definedName>
    <definedName name="___ko2" localSheetId="1">'[1]02'!#REF!</definedName>
    <definedName name="___ko2" localSheetId="0">'[1]02'!#REF!</definedName>
    <definedName name="___ko2">'[1]02'!#REF!</definedName>
    <definedName name="___ko21" localSheetId="1">'[1]21'!#REF!</definedName>
    <definedName name="___ko21" localSheetId="0">'[1]21'!#REF!</definedName>
    <definedName name="___ko21">'[1]21'!#REF!</definedName>
    <definedName name="___ko22" localSheetId="1">'[1]22'!#REF!</definedName>
    <definedName name="___ko22" localSheetId="0">'[1]22'!#REF!</definedName>
    <definedName name="___ko22">'[1]22'!#REF!</definedName>
    <definedName name="___ko23" localSheetId="1">'[1]23'!#REF!</definedName>
    <definedName name="___ko23" localSheetId="0">'[1]23'!#REF!</definedName>
    <definedName name="___ko23">'[1]23'!#REF!</definedName>
    <definedName name="___ko24" localSheetId="1">'[1]24'!#REF!</definedName>
    <definedName name="___ko24" localSheetId="0">'[1]24'!#REF!</definedName>
    <definedName name="___ko24">'[1]24'!#REF!</definedName>
    <definedName name="___ko26" localSheetId="1">'[1]26'!#REF!</definedName>
    <definedName name="___ko26" localSheetId="0">'[1]26'!#REF!</definedName>
    <definedName name="___ko26">'[1]26'!#REF!</definedName>
    <definedName name="___ko3" localSheetId="1">'[1]03'!#REF!</definedName>
    <definedName name="___ko3" localSheetId="0">'[1]03'!#REF!</definedName>
    <definedName name="___ko3">'[1]03'!#REF!</definedName>
    <definedName name="___ko35" localSheetId="1">'[1]35'!#REF!</definedName>
    <definedName name="___ko35" localSheetId="0">'[1]35'!#REF!</definedName>
    <definedName name="___ko35">'[1]35'!#REF!</definedName>
    <definedName name="___ko39" localSheetId="1">'[1]39'!#REF!</definedName>
    <definedName name="___ko39" localSheetId="0">'[1]39'!#REF!</definedName>
    <definedName name="___ko39">'[1]39'!#REF!</definedName>
    <definedName name="___ko40" localSheetId="1">'[1]40'!#REF!</definedName>
    <definedName name="___ko40" localSheetId="0">'[1]40'!#REF!</definedName>
    <definedName name="___ko40">'[1]40'!#REF!</definedName>
    <definedName name="___ko6" localSheetId="1">#REF!</definedName>
    <definedName name="___ko6" localSheetId="0">#REF!</definedName>
    <definedName name="___ko6">#REF!</definedName>
    <definedName name="___ko7" localSheetId="1">'[1]07'!#REF!</definedName>
    <definedName name="___ko7" localSheetId="0">'[1]07'!#REF!</definedName>
    <definedName name="___ko7">'[1]07'!#REF!</definedName>
    <definedName name="___RR131" localSheetId="1">#REF!</definedName>
    <definedName name="___RR131" localSheetId="0">#REF!</definedName>
    <definedName name="___RR131">#REF!</definedName>
    <definedName name="_FiltarBaze" localSheetId="1" hidden="1">'Troškovnik - ostali radovi-BEZ '!$C$3:$C$209</definedName>
    <definedName name="_FiltarBaze" localSheetId="0" hidden="1">'Troškovnik-BEZ CIJENE'!$C$3:$C$1166</definedName>
    <definedName name="_xlnm._FilterDatabase" localSheetId="0" hidden="1">'Troškovnik-BEZ CIJENE'!$C$3:$C$1166</definedName>
    <definedName name="_ko1" localSheetId="1">'[1]01'!#REF!</definedName>
    <definedName name="_ko1" localSheetId="0">'[1]01'!#REF!</definedName>
    <definedName name="_ko1">'[1]01'!#REF!</definedName>
    <definedName name="_ko15" localSheetId="1">'[1]15'!#REF!</definedName>
    <definedName name="_ko15" localSheetId="0">'[1]15'!#REF!</definedName>
    <definedName name="_ko15">'[1]15'!#REF!</definedName>
    <definedName name="_ko16" localSheetId="1">'[1]16'!#REF!</definedName>
    <definedName name="_ko16" localSheetId="0">'[1]16'!#REF!</definedName>
    <definedName name="_ko16">'[1]16'!#REF!</definedName>
    <definedName name="_ko19" localSheetId="1">'[1]19'!#REF!</definedName>
    <definedName name="_ko19" localSheetId="0">'[1]19'!#REF!</definedName>
    <definedName name="_ko19">'[1]19'!#REF!</definedName>
    <definedName name="_ko2" localSheetId="1">'[1]02'!#REF!</definedName>
    <definedName name="_ko2" localSheetId="0">'[1]02'!#REF!</definedName>
    <definedName name="_ko2">'[1]02'!#REF!</definedName>
    <definedName name="_ko21" localSheetId="1">'[1]21'!#REF!</definedName>
    <definedName name="_ko21" localSheetId="0">'[1]21'!#REF!</definedName>
    <definedName name="_ko21">'[1]21'!#REF!</definedName>
    <definedName name="_ko22" localSheetId="1">'[1]22'!#REF!</definedName>
    <definedName name="_ko22" localSheetId="0">'[1]22'!#REF!</definedName>
    <definedName name="_ko22">'[1]22'!#REF!</definedName>
    <definedName name="_ko23" localSheetId="1">'[1]23'!#REF!</definedName>
    <definedName name="_ko23" localSheetId="0">'[1]23'!#REF!</definedName>
    <definedName name="_ko23">'[1]23'!#REF!</definedName>
    <definedName name="_ko24" localSheetId="1">'[1]24'!#REF!</definedName>
    <definedName name="_ko24" localSheetId="0">'[1]24'!#REF!</definedName>
    <definedName name="_ko24">'[1]24'!#REF!</definedName>
    <definedName name="_ko26" localSheetId="1">'[1]26'!#REF!</definedName>
    <definedName name="_ko26" localSheetId="0">'[1]26'!#REF!</definedName>
    <definedName name="_ko26">'[1]26'!#REF!</definedName>
    <definedName name="_ko3" localSheetId="1">'[1]03'!#REF!</definedName>
    <definedName name="_ko3" localSheetId="0">'[1]03'!#REF!</definedName>
    <definedName name="_ko3">'[1]03'!#REF!</definedName>
    <definedName name="_ko35" localSheetId="1">'[1]35'!#REF!</definedName>
    <definedName name="_ko35" localSheetId="0">'[1]35'!#REF!</definedName>
    <definedName name="_ko35">'[1]35'!#REF!</definedName>
    <definedName name="_ko39" localSheetId="1">'[1]39'!#REF!</definedName>
    <definedName name="_ko39" localSheetId="0">'[1]39'!#REF!</definedName>
    <definedName name="_ko39">'[1]39'!#REF!</definedName>
    <definedName name="_ko40" localSheetId="1">'[1]40'!#REF!</definedName>
    <definedName name="_ko40" localSheetId="0">'[1]40'!#REF!</definedName>
    <definedName name="_ko40">'[1]40'!#REF!</definedName>
    <definedName name="_ko6" localSheetId="1">#REF!</definedName>
    <definedName name="_ko6" localSheetId="0">#REF!</definedName>
    <definedName name="_ko6">#REF!</definedName>
    <definedName name="_ko7" localSheetId="1">'[1]07'!#REF!</definedName>
    <definedName name="_ko7" localSheetId="0">'[1]07'!#REF!</definedName>
    <definedName name="_ko7">'[1]07'!#REF!</definedName>
    <definedName name="_RR131" localSheetId="1">#REF!</definedName>
    <definedName name="_RR131" localSheetId="0">#REF!</definedName>
    <definedName name="_RR131">#REF!</definedName>
    <definedName name="Arm_beton" localSheetId="1">#REF!</definedName>
    <definedName name="Arm_beton" localSheetId="0">#REF!</definedName>
    <definedName name="Arm_beton">#REF!</definedName>
    <definedName name="Armiracki" localSheetId="1">#REF!</definedName>
    <definedName name="Armiracki" localSheetId="0">#REF!</definedName>
    <definedName name="Armiracki">#REF!</definedName>
    <definedName name="Betonski" localSheetId="1">#REF!</definedName>
    <definedName name="Betonski" localSheetId="0">#REF!</definedName>
    <definedName name="Betonski">#REF!</definedName>
    <definedName name="dtce" localSheetId="1">#REF!</definedName>
    <definedName name="dtce" localSheetId="0">#REF!</definedName>
    <definedName name="dtce">#REF!</definedName>
    <definedName name="_xlnm.Print_Titles" localSheetId="1">'Troškovnik - ostali radovi-BEZ '!$1:$6</definedName>
    <definedName name="_xlnm.Print_Titles" localSheetId="0">'Troškovnik-BEZ CIJENE'!$1:$5</definedName>
    <definedName name="Izolateri" localSheetId="1">#REF!</definedName>
    <definedName name="Izolateri" localSheetId="0">#REF!</definedName>
    <definedName name="Izolateri">#REF!</definedName>
    <definedName name="kmc" localSheetId="1">#REF!</definedName>
    <definedName name="kmc" localSheetId="0">#REF!</definedName>
    <definedName name="kmc">#REF!</definedName>
    <definedName name="koef" localSheetId="1">#REF!</definedName>
    <definedName name="koef" localSheetId="0">#REF!</definedName>
    <definedName name="koef">#REF!</definedName>
    <definedName name="mc" localSheetId="1">#REF!</definedName>
    <definedName name="mc" localSheetId="0">#REF!</definedName>
    <definedName name="mc">#REF!</definedName>
    <definedName name="mcme" localSheetId="1">#REF!</definedName>
    <definedName name="mcme" localSheetId="0">#REF!</definedName>
    <definedName name="mcme">#REF!</definedName>
    <definedName name="mcmf" localSheetId="1">#REF!</definedName>
    <definedName name="mcmf" localSheetId="0">#REF!</definedName>
    <definedName name="mcmf">#REF!</definedName>
    <definedName name="mcml" localSheetId="1">#REF!</definedName>
    <definedName name="mcml" localSheetId="0">#REF!</definedName>
    <definedName name="mcml">#REF!</definedName>
    <definedName name="me" localSheetId="1">#REF!</definedName>
    <definedName name="me" localSheetId="0">#REF!</definedName>
    <definedName name="me">#REF!</definedName>
    <definedName name="mf" localSheetId="1">#REF!</definedName>
    <definedName name="mf" localSheetId="0">#REF!</definedName>
    <definedName name="mf">#REF!</definedName>
    <definedName name="ml" localSheetId="1">#REF!</definedName>
    <definedName name="ml" localSheetId="0">#REF!</definedName>
    <definedName name="ml">#REF!</definedName>
    <definedName name="Pero">'[2]1.  ZEMLJANI'!$A$3:$H$28</definedName>
    <definedName name="PODACI" localSheetId="1">#REF!</definedName>
    <definedName name="PODACI" localSheetId="0">#REF!</definedName>
    <definedName name="PODACI">#REF!</definedName>
    <definedName name="PODACI_MA" localSheetId="1">#REF!</definedName>
    <definedName name="PODACI_MA" localSheetId="0">#REF!</definedName>
    <definedName name="PODACI_MA">#REF!</definedName>
    <definedName name="PODACIGA" localSheetId="1">#REF!</definedName>
    <definedName name="PODACIGA" localSheetId="0">#REF!</definedName>
    <definedName name="PODACIGA">#REF!</definedName>
    <definedName name="PODACIRA" localSheetId="1">#REF!</definedName>
    <definedName name="PODACIRA" localSheetId="0">#REF!</definedName>
    <definedName name="PODACIRA">#REF!</definedName>
    <definedName name="_xlnm.Print_Area" localSheetId="1">'Troškovnik - ostali radovi-BEZ '!$A$1:$F$207</definedName>
    <definedName name="_xlnm.Print_Area" localSheetId="0">'Troškovnik-BEZ CIJENE'!$A$1:$F$1130</definedName>
    <definedName name="RRR" localSheetId="1">#REF!</definedName>
    <definedName name="RRR" localSheetId="0">#REF!</definedName>
    <definedName name="RRR">#REF!</definedName>
    <definedName name="RRRRR" localSheetId="1">#REF!</definedName>
    <definedName name="RRRRR" localSheetId="0">#REF!</definedName>
    <definedName name="RRRRR">#REF!</definedName>
    <definedName name="sho" localSheetId="1">#REF!</definedName>
    <definedName name="sho" localSheetId="0">#REF!</definedName>
    <definedName name="sho">#REF!</definedName>
    <definedName name="Tesarski" localSheetId="1">#REF!</definedName>
    <definedName name="Tesarski" localSheetId="0">#REF!</definedName>
    <definedName name="Tesarski">#REF!</definedName>
    <definedName name="vho" localSheetId="1">#REF!</definedName>
    <definedName name="vho" localSheetId="0">#REF!</definedName>
    <definedName name="vho">#REF!</definedName>
    <definedName name="Zemljani" localSheetId="1">#REF!</definedName>
    <definedName name="Zemljani" localSheetId="0">#REF!</definedName>
    <definedName name="Zemljani">#REF!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5" i="35" l="1"/>
  <c r="D94" i="35"/>
  <c r="E4" i="37" l="1"/>
  <c r="F1105" i="35"/>
  <c r="F1103" i="35"/>
  <c r="F1101" i="35"/>
  <c r="F1099" i="35"/>
  <c r="F1097" i="35"/>
  <c r="F1095" i="35"/>
  <c r="F1093" i="35"/>
  <c r="F1091" i="35"/>
  <c r="F1089" i="35"/>
  <c r="F1087" i="35"/>
  <c r="F143" i="36"/>
  <c r="F180" i="36" s="1"/>
  <c r="F94" i="36"/>
  <c r="F178" i="36" s="1"/>
  <c r="F49" i="36"/>
  <c r="F176" i="36" s="1"/>
  <c r="F30" i="36"/>
  <c r="F174" i="36" s="1"/>
  <c r="F139" i="36"/>
  <c r="F138" i="36"/>
  <c r="F137" i="36"/>
  <c r="F92" i="36"/>
  <c r="F47" i="36"/>
  <c r="F26" i="36"/>
  <c r="F25" i="36"/>
  <c r="F24" i="36"/>
  <c r="F20" i="36"/>
  <c r="F19" i="36"/>
  <c r="F18" i="36"/>
  <c r="F14" i="36"/>
  <c r="F13" i="36"/>
  <c r="F1052" i="35"/>
  <c r="F1006" i="35"/>
  <c r="F976" i="35"/>
  <c r="F954" i="35"/>
  <c r="F924" i="35"/>
  <c r="F895" i="35"/>
  <c r="F801" i="35"/>
  <c r="F531" i="35"/>
  <c r="F375" i="35"/>
  <c r="F303" i="35"/>
  <c r="F1044" i="35"/>
  <c r="F1043" i="35"/>
  <c r="F1042" i="35"/>
  <c r="F1041" i="35"/>
  <c r="F971" i="35"/>
  <c r="F970" i="35"/>
  <c r="F969" i="35"/>
  <c r="F968" i="35"/>
  <c r="F951" i="35"/>
  <c r="F950" i="35"/>
  <c r="F949" i="35"/>
  <c r="F948" i="35"/>
  <c r="F945" i="35"/>
  <c r="F944" i="35"/>
  <c r="F943" i="35"/>
  <c r="F942" i="35"/>
  <c r="F920" i="35"/>
  <c r="F919" i="35"/>
  <c r="F918" i="35"/>
  <c r="F915" i="35"/>
  <c r="F914" i="35"/>
  <c r="F913" i="35"/>
  <c r="F910" i="35"/>
  <c r="F909" i="35"/>
  <c r="F908" i="35"/>
  <c r="F905" i="35"/>
  <c r="F904" i="35"/>
  <c r="F903" i="35"/>
  <c r="F893" i="35"/>
  <c r="F889" i="35"/>
  <c r="F888" i="35"/>
  <c r="F887" i="35"/>
  <c r="F886" i="35"/>
  <c r="F885" i="35"/>
  <c r="F882" i="35"/>
  <c r="F881" i="35"/>
  <c r="F880" i="35"/>
  <c r="F879" i="35"/>
  <c r="F878" i="35"/>
  <c r="F875" i="35"/>
  <c r="F872" i="35"/>
  <c r="F871" i="35"/>
  <c r="F868" i="35"/>
  <c r="F867" i="35"/>
  <c r="F857" i="35"/>
  <c r="F855" i="35"/>
  <c r="F853" i="35"/>
  <c r="F851" i="35"/>
  <c r="F842" i="35"/>
  <c r="F797" i="35"/>
  <c r="F791" i="35"/>
  <c r="F786" i="35"/>
  <c r="F782" i="35"/>
  <c r="F778" i="35"/>
  <c r="F774" i="35"/>
  <c r="F769" i="35"/>
  <c r="F765" i="35"/>
  <c r="F761" i="35"/>
  <c r="F757" i="35"/>
  <c r="F753" i="35"/>
  <c r="F749" i="35"/>
  <c r="F746" i="35"/>
  <c r="F743" i="35"/>
  <c r="F739" i="35"/>
  <c r="F736" i="35"/>
  <c r="F733" i="35"/>
  <c r="F730" i="35"/>
  <c r="F727" i="35"/>
  <c r="F717" i="35"/>
  <c r="F714" i="35"/>
  <c r="F701" i="35"/>
  <c r="F697" i="35"/>
  <c r="F693" i="35"/>
  <c r="F689" i="35"/>
  <c r="F684" i="35"/>
  <c r="F681" i="35"/>
  <c r="F680" i="35"/>
  <c r="F679" i="35"/>
  <c r="F678" i="35"/>
  <c r="F675" i="35"/>
  <c r="F671" i="35"/>
  <c r="F667" i="35"/>
  <c r="F663" i="35"/>
  <c r="F659" i="35"/>
  <c r="F646" i="35"/>
  <c r="F645" i="35"/>
  <c r="F642" i="35"/>
  <c r="F641" i="35"/>
  <c r="F639" i="35"/>
  <c r="F631" i="35"/>
  <c r="F630" i="35"/>
  <c r="F626" i="35"/>
  <c r="F625" i="35"/>
  <c r="F578" i="35"/>
  <c r="F575" i="35"/>
  <c r="F573" i="35"/>
  <c r="F566" i="35"/>
  <c r="F562" i="35"/>
  <c r="F558" i="35"/>
  <c r="F555" i="35"/>
  <c r="F526" i="35"/>
  <c r="F525" i="35"/>
  <c r="F522" i="35"/>
  <c r="F521" i="35"/>
  <c r="F518" i="35"/>
  <c r="F517" i="35"/>
  <c r="F508" i="35"/>
  <c r="F507" i="35"/>
  <c r="F506" i="35"/>
  <c r="F505" i="35"/>
  <c r="F504" i="35"/>
  <c r="F503" i="35"/>
  <c r="F500" i="35"/>
  <c r="F499" i="35"/>
  <c r="F498" i="35"/>
  <c r="F497" i="35"/>
  <c r="F496" i="35"/>
  <c r="F495" i="35"/>
  <c r="F484" i="35"/>
  <c r="F483" i="35"/>
  <c r="F482" i="35"/>
  <c r="F481" i="35"/>
  <c r="F480" i="35"/>
  <c r="F479" i="35"/>
  <c r="F476" i="35"/>
  <c r="F475" i="35"/>
  <c r="F474" i="35"/>
  <c r="F473" i="35"/>
  <c r="F472" i="35"/>
  <c r="F471" i="35"/>
  <c r="F467" i="35"/>
  <c r="F466" i="35"/>
  <c r="F463" i="35"/>
  <c r="F462" i="35"/>
  <c r="F461" i="35"/>
  <c r="F460" i="35"/>
  <c r="F459" i="35"/>
  <c r="F458" i="35"/>
  <c r="F457" i="35"/>
  <c r="F454" i="35"/>
  <c r="F453" i="35"/>
  <c r="F452" i="35"/>
  <c r="F451" i="35"/>
  <c r="F450" i="35"/>
  <c r="F449" i="35"/>
  <c r="F448" i="35"/>
  <c r="F440" i="35"/>
  <c r="F437" i="35"/>
  <c r="F436" i="35"/>
  <c r="F433" i="35"/>
  <c r="F432" i="35"/>
  <c r="F429" i="35"/>
  <c r="F428" i="35"/>
  <c r="F425" i="35"/>
  <c r="F424" i="35"/>
  <c r="F421" i="35"/>
  <c r="F420" i="35"/>
  <c r="F360" i="35"/>
  <c r="F357" i="35"/>
  <c r="F352" i="35"/>
  <c r="F351" i="35"/>
  <c r="F350" i="35"/>
  <c r="F349" i="35"/>
  <c r="F300" i="35"/>
  <c r="F296" i="35"/>
  <c r="F295" i="35"/>
  <c r="F294" i="35"/>
  <c r="F293" i="35"/>
  <c r="F292" i="35"/>
  <c r="F291" i="35"/>
  <c r="F290" i="35"/>
  <c r="F289" i="35"/>
  <c r="F286" i="35"/>
  <c r="F266" i="35"/>
  <c r="F264" i="35"/>
  <c r="F262" i="35"/>
  <c r="F260" i="35"/>
  <c r="F257" i="35"/>
  <c r="F256" i="35"/>
  <c r="F255" i="35"/>
  <c r="F244" i="35"/>
  <c r="F240" i="35"/>
  <c r="F237" i="35"/>
  <c r="F228" i="35"/>
  <c r="F223" i="35"/>
  <c r="F222" i="35"/>
  <c r="F217" i="35"/>
  <c r="F216" i="35"/>
  <c r="F215" i="35"/>
  <c r="F214" i="35"/>
  <c r="F213" i="35"/>
  <c r="F212" i="35"/>
  <c r="F209" i="35"/>
  <c r="F208" i="35"/>
  <c r="F207" i="35"/>
  <c r="F206" i="35"/>
  <c r="F205" i="35"/>
  <c r="F204" i="35"/>
  <c r="F198" i="35"/>
  <c r="F197" i="35"/>
  <c r="F196" i="35"/>
  <c r="F195" i="35"/>
  <c r="F194" i="35"/>
  <c r="F193" i="35"/>
  <c r="F189" i="35"/>
  <c r="F188" i="35"/>
  <c r="F187" i="35"/>
  <c r="F186" i="35"/>
  <c r="F185" i="35"/>
  <c r="F184" i="35"/>
  <c r="F183" i="35"/>
  <c r="F180" i="35"/>
  <c r="F179" i="35"/>
  <c r="F178" i="35"/>
  <c r="F177" i="35"/>
  <c r="F176" i="35"/>
  <c r="F175" i="35"/>
  <c r="F174" i="35"/>
  <c r="F168" i="35"/>
  <c r="F167" i="35"/>
  <c r="F166" i="35"/>
  <c r="F165" i="35"/>
  <c r="F164" i="35"/>
  <c r="F163" i="35"/>
  <c r="F162" i="35"/>
  <c r="F60" i="35"/>
  <c r="F53" i="35"/>
  <c r="F51" i="35"/>
  <c r="F50" i="35"/>
  <c r="F49" i="35"/>
  <c r="F48" i="35"/>
  <c r="F47" i="35"/>
  <c r="F46" i="35"/>
  <c r="F45" i="35"/>
  <c r="F44" i="35"/>
  <c r="F43" i="35"/>
  <c r="F42" i="35"/>
  <c r="F39" i="35"/>
  <c r="F38" i="35"/>
  <c r="F37" i="35"/>
  <c r="F36" i="35"/>
  <c r="F35" i="35"/>
  <c r="F34" i="35"/>
  <c r="F33" i="35"/>
  <c r="F32" i="35"/>
  <c r="F31" i="35"/>
  <c r="F30" i="35"/>
  <c r="F29" i="35"/>
  <c r="F28" i="35"/>
  <c r="F25" i="35"/>
  <c r="F24" i="35"/>
  <c r="F23" i="35"/>
  <c r="F22" i="35"/>
  <c r="F21" i="35"/>
  <c r="F20" i="35"/>
  <c r="F19" i="35"/>
  <c r="F18" i="35"/>
  <c r="F17" i="35"/>
  <c r="F16" i="35"/>
  <c r="F15" i="35"/>
  <c r="F14" i="35"/>
  <c r="F183" i="36" l="1"/>
  <c r="F185" i="36" s="1"/>
  <c r="F187" i="36" s="1"/>
  <c r="G266" i="35"/>
  <c r="H266" i="35" s="1"/>
  <c r="H138" i="36"/>
  <c r="D1003" i="35"/>
  <c r="F1003" i="35" s="1"/>
  <c r="D1002" i="35"/>
  <c r="F1002" i="35" s="1"/>
  <c r="D1001" i="35"/>
  <c r="F1001" i="35" s="1"/>
  <c r="D1000" i="35"/>
  <c r="F1000" i="35" s="1"/>
  <c r="D997" i="35"/>
  <c r="F997" i="35" s="1"/>
  <c r="D996" i="35"/>
  <c r="F996" i="35" s="1"/>
  <c r="D995" i="35"/>
  <c r="F995" i="35" s="1"/>
  <c r="D994" i="35"/>
  <c r="F994" i="35" s="1"/>
  <c r="D965" i="35"/>
  <c r="F965" i="35" s="1"/>
  <c r="D964" i="35"/>
  <c r="F964" i="35" s="1"/>
  <c r="D963" i="35"/>
  <c r="F963" i="35" s="1"/>
  <c r="D962" i="35"/>
  <c r="F962" i="35" s="1"/>
  <c r="D938" i="35"/>
  <c r="F938" i="35" s="1"/>
  <c r="D937" i="35"/>
  <c r="F937" i="35" s="1"/>
  <c r="D889" i="35"/>
  <c r="D888" i="35"/>
  <c r="D887" i="35"/>
  <c r="D886" i="35"/>
  <c r="D885" i="35"/>
  <c r="D882" i="35"/>
  <c r="D881" i="35"/>
  <c r="D880" i="35"/>
  <c r="D879" i="35"/>
  <c r="D878" i="35"/>
  <c r="D875" i="35"/>
  <c r="D872" i="35"/>
  <c r="D871" i="35"/>
  <c r="D868" i="35"/>
  <c r="D867" i="35"/>
  <c r="D860" i="35"/>
  <c r="F860" i="35" s="1"/>
  <c r="D857" i="35"/>
  <c r="D853" i="35"/>
  <c r="G851" i="35"/>
  <c r="D851" i="35"/>
  <c r="D847" i="35"/>
  <c r="F847" i="35" s="1"/>
  <c r="D846" i="35"/>
  <c r="F846" i="35" s="1"/>
  <c r="D842" i="35"/>
  <c r="D797" i="35"/>
  <c r="D798" i="35" s="1"/>
  <c r="F798" i="35" s="1"/>
  <c r="D791" i="35"/>
  <c r="D792" i="35" s="1"/>
  <c r="F792" i="35" s="1"/>
  <c r="D786" i="35"/>
  <c r="D787" i="35" s="1"/>
  <c r="F787" i="35" s="1"/>
  <c r="D782" i="35"/>
  <c r="D783" i="35" s="1"/>
  <c r="F783" i="35" s="1"/>
  <c r="D778" i="35"/>
  <c r="D779" i="35" s="1"/>
  <c r="F779" i="35" s="1"/>
  <c r="G774" i="35"/>
  <c r="D774" i="35"/>
  <c r="D775" i="35" s="1"/>
  <c r="F775" i="35" s="1"/>
  <c r="D769" i="35"/>
  <c r="D770" i="35" s="1"/>
  <c r="F770" i="35" s="1"/>
  <c r="D765" i="35"/>
  <c r="D766" i="35" s="1"/>
  <c r="F766" i="35" s="1"/>
  <c r="D761" i="35"/>
  <c r="D762" i="35" s="1"/>
  <c r="F762" i="35" s="1"/>
  <c r="D757" i="35"/>
  <c r="D758" i="35" s="1"/>
  <c r="F758" i="35" s="1"/>
  <c r="D753" i="35"/>
  <c r="D754" i="35" s="1"/>
  <c r="F754" i="35" s="1"/>
  <c r="G749" i="35"/>
  <c r="H749" i="35" s="1"/>
  <c r="D749" i="35"/>
  <c r="D746" i="35"/>
  <c r="G743" i="35"/>
  <c r="D743" i="35"/>
  <c r="D739" i="35"/>
  <c r="D736" i="35"/>
  <c r="D733" i="35"/>
  <c r="D730" i="35"/>
  <c r="D727" i="35"/>
  <c r="D717" i="35"/>
  <c r="D718" i="35" s="1"/>
  <c r="F718" i="35" s="1"/>
  <c r="D714" i="35"/>
  <c r="D715" i="35" s="1"/>
  <c r="F715" i="35" s="1"/>
  <c r="D709" i="35"/>
  <c r="D708" i="35"/>
  <c r="D707" i="35"/>
  <c r="D706" i="35"/>
  <c r="D702" i="35"/>
  <c r="D698" i="35"/>
  <c r="D694" i="35"/>
  <c r="D690" i="35"/>
  <c r="D685" i="35"/>
  <c r="G684" i="35"/>
  <c r="D681" i="35"/>
  <c r="D680" i="35"/>
  <c r="D679" i="35"/>
  <c r="D678" i="35"/>
  <c r="G675" i="35"/>
  <c r="D675" i="35"/>
  <c r="G671" i="35"/>
  <c r="D671" i="35"/>
  <c r="D668" i="35"/>
  <c r="F668" i="35" s="1"/>
  <c r="H667" i="35"/>
  <c r="D663" i="35"/>
  <c r="D664" i="35" s="1"/>
  <c r="F664" i="35" s="1"/>
  <c r="D659" i="35"/>
  <c r="D660" i="35" s="1"/>
  <c r="F660" i="35" s="1"/>
  <c r="D650" i="35"/>
  <c r="F650" i="35" s="1"/>
  <c r="D649" i="35"/>
  <c r="F649" i="35" s="1"/>
  <c r="I646" i="35"/>
  <c r="K646" i="35" s="1"/>
  <c r="D646" i="35"/>
  <c r="I645" i="35"/>
  <c r="K645" i="35" s="1"/>
  <c r="D645" i="35"/>
  <c r="D642" i="35"/>
  <c r="D641" i="35"/>
  <c r="D640" i="35"/>
  <c r="F640" i="35" s="1"/>
  <c r="D639" i="35"/>
  <c r="D638" i="35"/>
  <c r="F638" i="35" s="1"/>
  <c r="D635" i="35"/>
  <c r="F635" i="35" s="1"/>
  <c r="D634" i="35"/>
  <c r="F634" i="35" s="1"/>
  <c r="D631" i="35"/>
  <c r="G630" i="35"/>
  <c r="H630" i="35" s="1"/>
  <c r="D630" i="35"/>
  <c r="D626" i="35"/>
  <c r="D625" i="35"/>
  <c r="D576" i="35"/>
  <c r="F576" i="35" s="1"/>
  <c r="G575" i="35"/>
  <c r="H575" i="35" s="1"/>
  <c r="D562" i="35"/>
  <c r="D563" i="35" s="1"/>
  <c r="F563" i="35" s="1"/>
  <c r="D558" i="35"/>
  <c r="D559" i="35" s="1"/>
  <c r="F559" i="35" s="1"/>
  <c r="H555" i="35"/>
  <c r="D555" i="35"/>
  <c r="D526" i="35"/>
  <c r="D525" i="35"/>
  <c r="D522" i="35"/>
  <c r="D521" i="35"/>
  <c r="D518" i="35"/>
  <c r="D517" i="35"/>
  <c r="D508" i="35"/>
  <c r="D507" i="35"/>
  <c r="D506" i="35"/>
  <c r="D505" i="35"/>
  <c r="D504" i="35"/>
  <c r="D503" i="35"/>
  <c r="D500" i="35"/>
  <c r="D499" i="35"/>
  <c r="D498" i="35"/>
  <c r="D497" i="35"/>
  <c r="D496" i="35"/>
  <c r="D495" i="35"/>
  <c r="D489" i="35"/>
  <c r="F489" i="35" s="1"/>
  <c r="D487" i="35"/>
  <c r="F487" i="35" s="1"/>
  <c r="D484" i="35"/>
  <c r="D492" i="35" s="1"/>
  <c r="F492" i="35" s="1"/>
  <c r="D483" i="35"/>
  <c r="D491" i="35" s="1"/>
  <c r="F491" i="35" s="1"/>
  <c r="D482" i="35"/>
  <c r="D490" i="35" s="1"/>
  <c r="F490" i="35" s="1"/>
  <c r="D481" i="35"/>
  <c r="D480" i="35"/>
  <c r="D479" i="35"/>
  <c r="D476" i="35"/>
  <c r="D475" i="35"/>
  <c r="D474" i="35"/>
  <c r="D473" i="35"/>
  <c r="D472" i="35"/>
  <c r="D471" i="35"/>
  <c r="D467" i="35"/>
  <c r="D466" i="35"/>
  <c r="D463" i="35"/>
  <c r="D462" i="35"/>
  <c r="D461" i="35"/>
  <c r="D460" i="35"/>
  <c r="D459" i="35"/>
  <c r="D458" i="35"/>
  <c r="D457" i="35"/>
  <c r="D454" i="35"/>
  <c r="D453" i="35"/>
  <c r="D452" i="35"/>
  <c r="D451" i="35"/>
  <c r="D450" i="35"/>
  <c r="D449" i="35"/>
  <c r="D448" i="35"/>
  <c r="D437" i="35"/>
  <c r="D436" i="35"/>
  <c r="D433" i="35"/>
  <c r="D432" i="35"/>
  <c r="D429" i="35"/>
  <c r="D428" i="35"/>
  <c r="D425" i="35"/>
  <c r="D424" i="35"/>
  <c r="D421" i="35"/>
  <c r="D420" i="35"/>
  <c r="D357" i="35"/>
  <c r="D352" i="35"/>
  <c r="D354" i="35" s="1"/>
  <c r="F354" i="35" s="1"/>
  <c r="D351" i="35"/>
  <c r="D350" i="35"/>
  <c r="D371" i="35" s="1"/>
  <c r="F371" i="35" s="1"/>
  <c r="D349" i="35"/>
  <c r="D353" i="35" s="1"/>
  <c r="F353" i="35" s="1"/>
  <c r="D300" i="35"/>
  <c r="D296" i="35"/>
  <c r="D295" i="35"/>
  <c r="D294" i="35"/>
  <c r="D297" i="35" s="1"/>
  <c r="F297" i="35" s="1"/>
  <c r="D293" i="35"/>
  <c r="D292" i="35"/>
  <c r="D291" i="35"/>
  <c r="D290" i="35"/>
  <c r="D289" i="35"/>
  <c r="D257" i="35"/>
  <c r="D256" i="35"/>
  <c r="D255" i="35"/>
  <c r="D258" i="35" s="1"/>
  <c r="F258" i="35" s="1"/>
  <c r="D244" i="35"/>
  <c r="D245" i="35" s="1"/>
  <c r="F245" i="35" s="1"/>
  <c r="D241" i="35"/>
  <c r="F241" i="35" s="1"/>
  <c r="G240" i="35"/>
  <c r="D237" i="35"/>
  <c r="D238" i="35" s="1"/>
  <c r="F238" i="35" s="1"/>
  <c r="D233" i="35"/>
  <c r="F233" i="35" s="1"/>
  <c r="D232" i="35"/>
  <c r="F232" i="35" s="1"/>
  <c r="D227" i="35"/>
  <c r="D224" i="35"/>
  <c r="F224" i="35" s="1"/>
  <c r="D217" i="35"/>
  <c r="D216" i="35"/>
  <c r="D215" i="35"/>
  <c r="D214" i="35"/>
  <c r="D213" i="35"/>
  <c r="D212" i="35"/>
  <c r="D209" i="35"/>
  <c r="D208" i="35"/>
  <c r="D207" i="35"/>
  <c r="D206" i="35"/>
  <c r="D205" i="35"/>
  <c r="D204" i="35"/>
  <c r="D198" i="35"/>
  <c r="D197" i="35"/>
  <c r="D196" i="35"/>
  <c r="D195" i="35"/>
  <c r="D194" i="35"/>
  <c r="D193" i="35"/>
  <c r="D199" i="35" s="1"/>
  <c r="D189" i="35"/>
  <c r="D188" i="35"/>
  <c r="D187" i="35"/>
  <c r="D186" i="35"/>
  <c r="D185" i="35"/>
  <c r="D184" i="35"/>
  <c r="D183" i="35"/>
  <c r="D180" i="35"/>
  <c r="D618" i="35" s="1"/>
  <c r="F618" i="35" s="1"/>
  <c r="D179" i="35"/>
  <c r="D612" i="35" s="1"/>
  <c r="F612" i="35" s="1"/>
  <c r="D178" i="35"/>
  <c r="D177" i="35"/>
  <c r="D600" i="35" s="1"/>
  <c r="F600" i="35" s="1"/>
  <c r="D176" i="35"/>
  <c r="D594" i="35" s="1"/>
  <c r="F594" i="35" s="1"/>
  <c r="D175" i="35"/>
  <c r="D174" i="35"/>
  <c r="D582" i="35" s="1"/>
  <c r="F582" i="35" s="1"/>
  <c r="D168" i="35"/>
  <c r="D167" i="35"/>
  <c r="D169" i="35" s="1"/>
  <c r="D157" i="35"/>
  <c r="F157" i="35" s="1"/>
  <c r="D156" i="35"/>
  <c r="F156" i="35" s="1"/>
  <c r="D155" i="35"/>
  <c r="F155" i="35" s="1"/>
  <c r="D152" i="35"/>
  <c r="F152" i="35" s="1"/>
  <c r="D151" i="35"/>
  <c r="F151" i="35" s="1"/>
  <c r="D150" i="35"/>
  <c r="F150" i="35" s="1"/>
  <c r="D147" i="35"/>
  <c r="F147" i="35" s="1"/>
  <c r="D146" i="35"/>
  <c r="F146" i="35" s="1"/>
  <c r="D145" i="35"/>
  <c r="F145" i="35" s="1"/>
  <c r="D142" i="35"/>
  <c r="F142" i="35" s="1"/>
  <c r="D141" i="35"/>
  <c r="F141" i="35" s="1"/>
  <c r="D140" i="35"/>
  <c r="F140" i="35" s="1"/>
  <c r="D139" i="35"/>
  <c r="F139" i="35" s="1"/>
  <c r="D138" i="35"/>
  <c r="F138" i="35" s="1"/>
  <c r="D137" i="35"/>
  <c r="F137" i="35" s="1"/>
  <c r="D134" i="35"/>
  <c r="F134" i="35" s="1"/>
  <c r="D133" i="35"/>
  <c r="F133" i="35" s="1"/>
  <c r="D132" i="35"/>
  <c r="F132" i="35" s="1"/>
  <c r="D131" i="35"/>
  <c r="F131" i="35" s="1"/>
  <c r="D130" i="35"/>
  <c r="F130" i="35" s="1"/>
  <c r="D126" i="35"/>
  <c r="F126" i="35" s="1"/>
  <c r="D125" i="35"/>
  <c r="F125" i="35" s="1"/>
  <c r="D124" i="35"/>
  <c r="F124" i="35" s="1"/>
  <c r="D121" i="35"/>
  <c r="F121" i="35" s="1"/>
  <c r="D120" i="35"/>
  <c r="F120" i="35" s="1"/>
  <c r="D119" i="35"/>
  <c r="F119" i="35" s="1"/>
  <c r="D116" i="35"/>
  <c r="F116" i="35" s="1"/>
  <c r="D115" i="35"/>
  <c r="F115" i="35" s="1"/>
  <c r="D114" i="35"/>
  <c r="F114" i="35" s="1"/>
  <c r="D111" i="35"/>
  <c r="F111" i="35" s="1"/>
  <c r="D110" i="35"/>
  <c r="F110" i="35" s="1"/>
  <c r="D109" i="35"/>
  <c r="F109" i="35" s="1"/>
  <c r="D108" i="35"/>
  <c r="F108" i="35" s="1"/>
  <c r="D107" i="35"/>
  <c r="F107" i="35" s="1"/>
  <c r="D106" i="35"/>
  <c r="F106" i="35" s="1"/>
  <c r="D103" i="35"/>
  <c r="F103" i="35" s="1"/>
  <c r="D102" i="35"/>
  <c r="F102" i="35" s="1"/>
  <c r="D101" i="35"/>
  <c r="F101" i="35" s="1"/>
  <c r="D100" i="35"/>
  <c r="F100" i="35" s="1"/>
  <c r="D99" i="35"/>
  <c r="F99" i="35" s="1"/>
  <c r="G94" i="35"/>
  <c r="D93" i="35"/>
  <c r="D92" i="35"/>
  <c r="D91" i="35"/>
  <c r="G89" i="35"/>
  <c r="D88" i="35"/>
  <c r="D87" i="35"/>
  <c r="D86" i="35"/>
  <c r="G84" i="35"/>
  <c r="D83" i="35"/>
  <c r="D82" i="35"/>
  <c r="D81" i="35"/>
  <c r="G79" i="35"/>
  <c r="D78" i="35"/>
  <c r="D77" i="35"/>
  <c r="D76" i="35"/>
  <c r="D75" i="35"/>
  <c r="D74" i="35"/>
  <c r="D73" i="35"/>
  <c r="G71" i="35"/>
  <c r="D70" i="35"/>
  <c r="D69" i="35"/>
  <c r="D68" i="35"/>
  <c r="D67" i="35"/>
  <c r="D66" i="35"/>
  <c r="D52" i="35"/>
  <c r="F52" i="35" s="1"/>
  <c r="D46" i="35"/>
  <c r="D45" i="35"/>
  <c r="D43" i="35"/>
  <c r="D42" i="35"/>
  <c r="D861" i="35" l="1"/>
  <c r="F861" i="35" s="1"/>
  <c r="F706" i="35"/>
  <c r="D201" i="35"/>
  <c r="F201" i="35" s="1"/>
  <c r="F199" i="35"/>
  <c r="D686" i="35"/>
  <c r="F686" i="35" s="1"/>
  <c r="F685" i="35"/>
  <c r="D862" i="35"/>
  <c r="F862" i="35" s="1"/>
  <c r="F707" i="35"/>
  <c r="D229" i="35"/>
  <c r="F229" i="35" s="1"/>
  <c r="F227" i="35"/>
  <c r="D691" i="35"/>
  <c r="F691" i="35" s="1"/>
  <c r="F690" i="35"/>
  <c r="D863" i="35"/>
  <c r="F863" i="35" s="1"/>
  <c r="F708" i="35"/>
  <c r="D171" i="35"/>
  <c r="F171" i="35" s="1"/>
  <c r="F169" i="35"/>
  <c r="D695" i="35"/>
  <c r="F695" i="35" s="1"/>
  <c r="F694" i="35"/>
  <c r="D864" i="35"/>
  <c r="F864" i="35" s="1"/>
  <c r="F709" i="35"/>
  <c r="D699" i="35"/>
  <c r="F699" i="35" s="1"/>
  <c r="F698" i="35"/>
  <c r="D703" i="35"/>
  <c r="F703" i="35" s="1"/>
  <c r="F702" i="35"/>
  <c r="F94" i="35"/>
  <c r="F270" i="35" s="1"/>
  <c r="F1085" i="35" s="1"/>
  <c r="F1108" i="35" s="1"/>
  <c r="E3" i="37" s="1"/>
  <c r="E5" i="37" s="1"/>
  <c r="D614" i="35"/>
  <c r="F614" i="35" s="1"/>
  <c r="D613" i="35"/>
  <c r="D370" i="35"/>
  <c r="F370" i="35" s="1"/>
  <c r="G95" i="35"/>
  <c r="D602" i="35"/>
  <c r="F602" i="35" s="1"/>
  <c r="D601" i="35"/>
  <c r="F601" i="35" s="1"/>
  <c r="D596" i="35"/>
  <c r="F596" i="35" s="1"/>
  <c r="D595" i="35"/>
  <c r="F595" i="35" s="1"/>
  <c r="D620" i="35"/>
  <c r="F620" i="35" s="1"/>
  <c r="D619" i="35"/>
  <c r="F619" i="35" s="1"/>
  <c r="D788" i="35"/>
  <c r="F788" i="35" s="1"/>
  <c r="D793" i="35"/>
  <c r="F793" i="35" s="1"/>
  <c r="D584" i="35"/>
  <c r="F584" i="35" s="1"/>
  <c r="D583" i="35"/>
  <c r="F583" i="35" s="1"/>
  <c r="D588" i="35"/>
  <c r="F588" i="35" s="1"/>
  <c r="D721" i="35"/>
  <c r="F721" i="35" s="1"/>
  <c r="D372" i="35"/>
  <c r="F372" i="35" s="1"/>
  <c r="D488" i="35"/>
  <c r="F488" i="35" s="1"/>
  <c r="F95" i="35"/>
  <c r="D606" i="35"/>
  <c r="F606" i="35" s="1"/>
  <c r="F1110" i="35" l="1"/>
  <c r="F1112" i="35" s="1"/>
  <c r="E6" i="37"/>
  <c r="E7" i="37" s="1"/>
  <c r="D615" i="35"/>
  <c r="F615" i="35" s="1"/>
  <c r="F613" i="35"/>
  <c r="D597" i="35"/>
  <c r="F597" i="35" s="1"/>
  <c r="D722" i="35"/>
  <c r="F722" i="35" s="1"/>
  <c r="D608" i="35"/>
  <c r="F608" i="35" s="1"/>
  <c r="D607" i="35"/>
  <c r="F607" i="35" s="1"/>
  <c r="D590" i="35"/>
  <c r="F590" i="35" s="1"/>
  <c r="D589" i="35"/>
  <c r="F589" i="35" s="1"/>
  <c r="D621" i="35"/>
  <c r="F621" i="35" s="1"/>
  <c r="D603" i="35"/>
  <c r="F603" i="35" s="1"/>
  <c r="D585" i="35"/>
  <c r="F585" i="35" s="1"/>
  <c r="G186" i="36" l="1"/>
  <c r="D609" i="35"/>
  <c r="F609" i="35" s="1"/>
  <c r="D591" i="35"/>
  <c r="F591" i="35" s="1"/>
  <c r="G1108" i="35" l="1"/>
  <c r="G1112" i="35" l="1"/>
</calcChain>
</file>

<file path=xl/sharedStrings.xml><?xml version="1.0" encoding="utf-8"?>
<sst xmlns="http://schemas.openxmlformats.org/spreadsheetml/2006/main" count="1653" uniqueCount="572">
  <si>
    <t>količina</t>
  </si>
  <si>
    <t>ukupno</t>
  </si>
  <si>
    <t>1.</t>
  </si>
  <si>
    <t>2.</t>
  </si>
  <si>
    <t>3.</t>
  </si>
  <si>
    <t>4.</t>
  </si>
  <si>
    <t>I</t>
  </si>
  <si>
    <t>II</t>
  </si>
  <si>
    <t>5.</t>
  </si>
  <si>
    <t>6.</t>
  </si>
  <si>
    <t>III</t>
  </si>
  <si>
    <t>ZIDARSKI RADOVI</t>
  </si>
  <si>
    <t>IV</t>
  </si>
  <si>
    <t>VI</t>
  </si>
  <si>
    <t>kom</t>
  </si>
  <si>
    <t>R E K A P I T U L A C I J A</t>
  </si>
  <si>
    <t>UKUPNO:</t>
  </si>
  <si>
    <t>SVEUKUPNO:</t>
  </si>
  <si>
    <t>napomena:</t>
  </si>
  <si>
    <t>*</t>
  </si>
  <si>
    <t>V</t>
  </si>
  <si>
    <t>RUŠENJA, DEMONTAŽE, PRIPREMA</t>
  </si>
  <si>
    <t>DEMONTAŽA, RUŠENJE, PRIPREMA UKUPNO:</t>
  </si>
  <si>
    <t>SKELARSKI RADOVI</t>
  </si>
  <si>
    <t>kg</t>
  </si>
  <si>
    <t>SKELARSKI RADOVI UKUPNO:</t>
  </si>
  <si>
    <t>ZIDARSKI RADOVI UKUPNO</t>
  </si>
  <si>
    <t>PDV 25%</t>
  </si>
  <si>
    <t>komplet</t>
  </si>
  <si>
    <t>Pripremni radovi. Pripremni radovi uključuju sve radnje na pomicanju i zaštiti opreme i uređaja od oštećenja i prašine, radovi uključuju i demontažu rasvjetnih tijela, utičnica i prekidača te zaštitu električnih i plinskih instalacija, razvodnoga ormara struje i brojila potrošnje struje, ako postoje u zoni sanacijskih radova. U pripremne radove uključiti i unutarnji transport materijala do mjesta ugradnje u objektu. Po dovršetku radova sve treba vratiti u prvobitni položaj i stanje prije početka sanacije. Obračun je po kompletu svih provedenih pripremnih radova.</t>
  </si>
  <si>
    <t xml:space="preserve">GRAĐEVINSKI RADOVI </t>
  </si>
  <si>
    <t>jed.cijena</t>
  </si>
  <si>
    <t>jed. mj.</t>
  </si>
  <si>
    <t>BETONSKI I ARMIRANOBETONSKI RADOVI</t>
  </si>
  <si>
    <t>BETONSKI I AB RADOVI UKUPNO</t>
  </si>
  <si>
    <t>DEMONTAŽA, RUŠENJA, PRIPREME</t>
  </si>
  <si>
    <t xml:space="preserve">Izvedba pripremnih radova prije pristupanja radovima na rekonstrukciji postojećeg prostora, te prije pristupanju radovima na rušenju i demontaži. Stavka obuhvaća:
- kontrolu mjera i veličina postojećeg stanja konstrukcije objekta, 
- pregled i utvrđivanje točnih koridora postojećih instalacija u objektu (grijanje, elektrika, telefon, vodovod, kanalizacija i sl.) radi njihovog uklanjanja, zaštite ili prilagođavanja novim sadržajima. </t>
  </si>
  <si>
    <t>Ispuhati zrakom pod tlakom sve zidove. Potrebno je zašititi sve površine prethodno ispuhivanju. Alternativa je četkom to očistiti. U stavku uključiti sav potreban materijal, rad i opremu za izvedbu do potpune gotovosti.</t>
  </si>
  <si>
    <t>Priprema</t>
  </si>
  <si>
    <t>Uklanjanje svih elemenata u prostorijama (ormari, kreveti i slično) što spriječava izvedbu.  Deponirati na suhom mjestu i zaštiti od prašine folijom. Potrebno je napisati zapisnik i predočiti nadzornom inženjeru svih elemenata izmještenih za potrebu izvedbe radova. Nakon završetka potrebno je sve vratiti na svom mjestu. Obračun po paušalu. U stavku uključiti sve potrebne materijale, rad i opremu za izvedbu do potpune gotovosti. Odnosi se na sve radove sanacije.</t>
  </si>
  <si>
    <t>obijanje žbuke</t>
  </si>
  <si>
    <t>Sidrenje uglova</t>
  </si>
  <si>
    <t>Bušenje rupa za sidrenje promjera 22 mm. Koristiti ručnu bušilicu. Bušenje je kroz zid od opeke na mjestima predviđenim projektom. Dubina rupe iznosi 1.25 m, osim ako projektom nije drugačije propisano. Nakon bušenja potrebno je očistiti rupu. Rupa mora biti očišćena od prašine i ostataka opeke i morta. Obračun po komadu. U stavku uključiti sve potrebne materijale, rad i opremu za izvedbu do potpune gotovosti.</t>
  </si>
  <si>
    <t xml:space="preserve">Priprema potrebne dokumentacije, ishođenje dozvole za zauzimanje javno prometne površine (nogostup, parkirna mjesta i slično) od Gradskog ureda za Mjesnu samoupravu. Stavka uključuje projekt skele i tunela. </t>
  </si>
  <si>
    <t>Rabiciranje staklenom mrežicom. Armirna mrežica je staklena mrežica visoke kvalitete za ugradnju u sustave vanjske termoizolacije. Mrežica se koristi za armirni sloj i utiskuje se u površinu čeličnim gleterom. Mrežica se mora utisnuti u zadnju trećinu debljine armirnog sloja. Utiskuje se „mokro na mokro“ s minimalno 10 cm preklapanja. Mrežica se prekriva s 1 mm ljepila. Nakon postavljene površine mrežice, višak mrežice se odreže. Nakon završetka izrade mrežica ne smije biti vidljiva.  U cijenu stavke uključen je sav potreban rad, materijal, faktori i transport.</t>
  </si>
  <si>
    <t>Izvedba ležajeva dimenzija 15x15 cm i dubine 5 cm. Potrebno je ručno i pažljivo odštemati ležaj na zidu od opeke. Obračun po komadu. U stavku uključiti sve potrebne materijale, rad i opremu za izvedbu do potpune gotovosti.</t>
  </si>
  <si>
    <t>TESARSKI RADOVI</t>
  </si>
  <si>
    <t>TESARSKI RADOVI UKUPNO:</t>
  </si>
  <si>
    <t>METALNA KONSTRUKCIJA</t>
  </si>
  <si>
    <t>METALNA KONSTRUKCIJA UKUPNO:</t>
  </si>
  <si>
    <t>- zidovi</t>
  </si>
  <si>
    <t>7.</t>
  </si>
  <si>
    <t>8.</t>
  </si>
  <si>
    <t>9.</t>
  </si>
  <si>
    <t>10.</t>
  </si>
  <si>
    <t>11.</t>
  </si>
  <si>
    <t>12.</t>
  </si>
  <si>
    <t>13.</t>
  </si>
  <si>
    <t>14.</t>
  </si>
  <si>
    <t>15.</t>
  </si>
  <si>
    <t>16.</t>
  </si>
  <si>
    <t>17.</t>
  </si>
  <si>
    <t>18.</t>
  </si>
  <si>
    <t>19.</t>
  </si>
  <si>
    <r>
      <t>m</t>
    </r>
    <r>
      <rPr>
        <vertAlign val="superscript"/>
        <sz val="10"/>
        <rFont val="Arial"/>
        <family val="2"/>
      </rPr>
      <t>2</t>
    </r>
  </si>
  <si>
    <r>
      <rPr>
        <b/>
        <sz val="10"/>
        <rFont val="Symbol"/>
        <family val="1"/>
        <charset val="2"/>
      </rPr>
      <t>S</t>
    </r>
    <r>
      <rPr>
        <b/>
        <sz val="10"/>
        <rFont val="Arial"/>
        <family val="2"/>
      </rPr>
      <t xml:space="preserve"> =</t>
    </r>
  </si>
  <si>
    <r>
      <t>m</t>
    </r>
    <r>
      <rPr>
        <b/>
        <vertAlign val="superscript"/>
        <sz val="10"/>
        <rFont val="Arial"/>
        <family val="2"/>
      </rPr>
      <t>2</t>
    </r>
  </si>
  <si>
    <r>
      <t>m</t>
    </r>
    <r>
      <rPr>
        <vertAlign val="superscript"/>
        <sz val="10"/>
        <rFont val="Arial"/>
        <family val="2"/>
      </rPr>
      <t>3</t>
    </r>
  </si>
  <si>
    <t>Uklanjanje i deponiranje šute unutar dva sloja daščanje oplate. Pretpostavljena visina šute iznosi 15-20 cm. Uklonjenu šutu deponirati na odgovorajući deponij za građevinski materijal do 20 km od gradilišta. Obračun po m3. U stavku ulazi uklanjanje, utovar, prijevoz i deponiranje. U stavku uključiti sve potrebne radove, materijale i opremu za izvedbu do potpune gotovosti.</t>
  </si>
  <si>
    <t>- daščana oplata 2.4 cm</t>
  </si>
  <si>
    <t xml:space="preserve">Torkretiranje </t>
  </si>
  <si>
    <t xml:space="preserve">Nakon obijanja žbuke zid očistiti čeličnim četkama, a reške skobama do dubine od 2 cm. Potom cijelu površinu otprašiti i isprati vodom pod tlakom. Utovar, odvoz i istovar na lokaciju  udaljenu do 20 km. Obračun po m2. </t>
  </si>
  <si>
    <t>Strojno špricanje ili ručno nanošenje grube i fine žbuke s  unutarnje strane zidova produžnom žbukom 1:3:9 u slojevima ukupne debljine 2 cm za grubi sloj i 0,5 cm za fini sloj žbuke. Stavka obhvaća prethodno žbukanju nanošenje cementnog šprica, žbukanje, postavu kutnih profila, utiskivanje rabiciranog pletiva i završno zaglađivanje. Uključiti sav materijal, rad i alat za rad do potpune gotovosti. Rabic pletivo je obračunato zasebnom stavkom.</t>
  </si>
  <si>
    <t xml:space="preserve">beton C30/37 </t>
  </si>
  <si>
    <r>
      <t>m</t>
    </r>
    <r>
      <rPr>
        <vertAlign val="superscript"/>
        <sz val="10"/>
        <rFont val="Arial"/>
        <family val="2"/>
        <charset val="238"/>
      </rPr>
      <t>2</t>
    </r>
  </si>
  <si>
    <t>- betoniranje se izvodi samo nakon odobrenja nadzornog inženjera; bez odobrenja izvođač na svoj trošak uklanja beton</t>
  </si>
  <si>
    <t>VII</t>
  </si>
  <si>
    <t>IZOLATERSKI RADOVI</t>
  </si>
  <si>
    <t>IZOLATORSKI RADOVI UKUPNO:</t>
  </si>
  <si>
    <t>20.</t>
  </si>
  <si>
    <t>21.</t>
  </si>
  <si>
    <t>ručno odbijanje</t>
  </si>
  <si>
    <t>22.</t>
  </si>
  <si>
    <t xml:space="preserve">ispitivanje </t>
  </si>
  <si>
    <r>
      <t xml:space="preserve">MORT ZA ŽBUKANJE/KONSOLIDIRANJE                                                     Mort na bazi vapna ili cementa, kompatibilan sa bilo kojom vrstom opeke i tlačne čvrstoće jednake ili veće od 8 MPa, npr. mortovi na bazi vapna ili NHL-a kao npr. RÖFIX SismaCalce ili RÖFIX SismaDur (10,18,20,30 ili SLIM) ili jednakovrijedan proizvod. </t>
    </r>
    <r>
      <rPr>
        <b/>
        <sz val="10"/>
        <rFont val="Arial"/>
        <family val="2"/>
      </rPr>
      <t>Izvest u debljini do 30 mm. U stavci uračunati i materijal i rad.</t>
    </r>
  </si>
  <si>
    <r>
      <t xml:space="preserve">Mreža u GFRP proizvedena je tehnologijom TextrusionTM, čije se šipke sastoje od dugih staklenih vlakana impregniranih termoreaktivnom smolom epoksidnog tipa vinilestera. Pri formiranju mreže vlakna iz dva smjera pletu se pod pravim kutom tako da se stvara monolitna mreža.                                                                                   Tip T96AR: Mreža prosječne debljine </t>
    </r>
    <r>
      <rPr>
        <b/>
        <sz val="10"/>
        <rFont val="Arial"/>
        <family val="2"/>
      </rPr>
      <t>3mm</t>
    </r>
    <r>
      <rPr>
        <sz val="10"/>
        <rFont val="Arial"/>
        <family val="2"/>
      </rPr>
      <t>, nominalnog presjeka jedne šipke unutar mreže od 10 mm2, mreža veličine okna 33x33 mm /</t>
    </r>
    <r>
      <rPr>
        <b/>
        <sz val="10"/>
        <rFont val="Arial"/>
        <family val="2"/>
      </rPr>
      <t xml:space="preserve"> 66x66 mm</t>
    </r>
    <r>
      <rPr>
        <sz val="10"/>
        <rFont val="Arial"/>
        <family val="2"/>
      </rPr>
      <t xml:space="preserve"> / 99x99 mm, vlačne čvrstoće šipke 3,5 kN, izduljenje pri slomu iznosi 1,5%, prosječne vlačne aksijalne čvrstoće šipke EA od 230 kN, reakcije na požar* A2 i kalorijske vrijednosti 7,99 MJ/kg.                                                      Tip T192AR: Mreža prosječne debljine 5mm, nominalnog presjeka jedne šipke unutar mreže od 20 mm2, mreža veličine okna 66x66 mm / 99x99 mm, vlačne čvrstoće šipke 5,7 kN, izduljenje pri slomu iznosi 1,1%, prosječne vlačne aksijalne čvrstoće šipke EA od 540 kN, reakcije na požar* A2 i kalorijske vrijednosti 7,99 MJ/kg.                                                         * Napomena: Procijenjeno je da ukoliko uzimamo u obzir npr. mrežicu FB MESH 66x66T96AR umetnutu u sloj morta NHL 8MPa debljine 30 mm tada požarnu otpornost možemo klasificirati u A1 razred. </t>
    </r>
    <r>
      <rPr>
        <b/>
        <sz val="10"/>
        <rFont val="Arial"/>
        <family val="2"/>
      </rPr>
      <t>U stavci uračunati i materijal i rad.</t>
    </r>
  </si>
  <si>
    <r>
      <t xml:space="preserve">FBCON KONEKTOR
Konektor u obliku slova L u GFRP od strane Fibre Net-a za spajanje mreže FBMESH na zidove, izrađen od AR (alkalno otpornog) staklenog vlakna, prethodno zategnut i impregniran termoreaktivnom smolom epoksidnog tipa vinilestera.                                                 Karakteristike:  Veličina konektora: dulja strana je 10-100 cm, kraća strana je 10 cm, poprečnog presjeka 10x7 mm, vlačne čvrstoće šipke 31 kN, izduljenje pri slomu iznosi 1,7%, prosječne vlačne aksijalne čvrstoće šipke EA od 1847 kN. </t>
    </r>
    <r>
      <rPr>
        <b/>
        <sz val="10"/>
        <rFont val="Arial"/>
        <family val="2"/>
      </rPr>
      <t>U stavci uračunati i materijal i rad.</t>
    </r>
  </si>
  <si>
    <t xml:space="preserve"> </t>
  </si>
  <si>
    <t>Sve mjere kontrolirati u naravi!</t>
  </si>
  <si>
    <t>komada</t>
  </si>
  <si>
    <t xml:space="preserve">Dobava i ugradnja ojačanja na uglu vanjskih zidova u obliku sidara od armaturne šipke Φ16 dužine do 150 cm. U cijenu je uključena ugradnja sidara i  injektiranje rupe epoksidnim ljepilom nakon ugradnje šipke, postavljanje čelične pločice 100x100x8 mm sa zatezanjem matice nakon stvrdnjavanja epoksida te zatvaranje ležajne rupe produžnim mortom. Obračun po kg.  U cijeni je sav rad i materijal po uputi proizvođača do potpune gotovosti. </t>
  </si>
  <si>
    <t>Ispitivanje ugrađenih sidra hidrauličnom prešom. Sidra se ispituju na čupanje. Ispitivanje se vrši na 4 mjesta (naknadno će se odrediti kole sidro će se ispitati u dogovoru s nadzorom i projektantom). Obračun po komadu sidra. Sila koju sidro mora izdržati iznosi 25 kN. Ukoliko ne zadovolji, izvođač o svom trošku mijenja sva ugrađena sidra.</t>
  </si>
  <si>
    <t>Lokalno ojačanje zidova za ojačanje FRP sustavom (CRM)</t>
  </si>
  <si>
    <t>armatura</t>
  </si>
  <si>
    <t>komada:</t>
  </si>
  <si>
    <t>Dobava i izvedba armirano betonske spregnute tlačne ploče betonom min C25/30, debljine 8 cm, granulirani agregat. Oplata glatka, ostaje ispod tlačne ploče. Ploča se betonira i spreže s drvenim grednicima poda prizemlja. Spojna sredstva je armaturna šipka Ø14, kvalitete čelika B500B,u epoxy ljepilu na razmaku od 15cm u predbušenim rupama u grednicima. Razmak u  sredini raspona postaviti na 20 cm udaljenosti. Šipka je duljine 20 cm od toga je 10 cm unutar grednika, ostatak prolazi kroz oplatu u betonsku ploču. Armatura tlačne ploče je Q188. Beton je potrebno kod ugradbe vibrirati, da nestanu gnijezda (segregirani dio). Segregaciju sanira izvođač o svom trošku.
Prije izvedbe izvršiti će se ugradnja vijaka za sprezanje ab ploče sa drvenim grednicima. Njega betona u periodu od 20 dana su u cijeni stavke. Obračun po m3. Cijenom treba obuhvatiti kompletan rad. Spojna sredstva su pretpostavljene količine, jer se ne zna točan broj grednika.</t>
  </si>
  <si>
    <t xml:space="preserve">Dobava, siječenje, savijanje i ugradnja armature  kvalitete čelika B500B.  Armatura su rebraste armaturne mreže. Prilikom ugradnje voditi računa o preklopu armature. Obračun po kg. Cijenom treba obuhvatiti kompletan rad. Prethodno betoniranju obavezan je pregled izvedenih armiračkih radova od strane nadzornog inženjera. </t>
  </si>
  <si>
    <t xml:space="preserve">Dobava i ugradnja spojnih sredstava vijaka za sprezanje drveta i betona ili armaturnih šipki Ø14mm., kvalitete čelika B500B,u epoxy ljepilu na razmaku od 15cm u predbušenim rupama u grednicima. Razmak u  sredini raspona postaviti na 20 cm udaljenosti. Šipka je duljine min 35 cm od toga je min 15 cm unutar grednika, ostatak prolazi kroz oplatu u betonsku ploču.  Šipke se postavljaju pod kutem od 45 stupnjeva. U cijenu uključen sav potrebni materijal. </t>
  </si>
  <si>
    <t xml:space="preserve">duljina grednika = </t>
  </si>
  <si>
    <t>dodatna armatura oko otvora i u uglovima - ∅12 (25% od potrebne armature)</t>
  </si>
  <si>
    <t xml:space="preserve">Dobava i ugradnja sidara za povezivanje tlačne ploče s postojećim zidovima i postojećim ojačanjem u podu potkrovlja. Sidra se izvode iz betonskog rebrastog čelika B500B promjera Ø14 mm, dužine do 100 cm (20 cm u zidu i 80 cm za duljinu preklopa s mrežom) i ugrađuju se između dva grednika (prema skicama) tj. na svakih 50 cm. Uključivo bušenje rupa promjera do Ø18 i dužine 2/3*t u zidovima od pune opeke i ugradnja utiskivanjem sidara u iste s odgovarajućim ekspanzivni mortom. Sidra se ugrađuju prije ugradnje armature tlačne ploče i betoniranja iste. U cijenu uključen sav potrebni materijal. </t>
  </si>
  <si>
    <t>Dobava, montaža i izvedba nove daščane oplate za izvedbu tlačne AB ploče na podu potkrovlja ukoliko je postojeća dotrajala. Drvena oplata su daske visine 24mm od punog drva. Spoj daščane oplate i drvenih grednika osiguran je vijcima za drvo 10x100mm.</t>
  </si>
  <si>
    <t>Zamjena uklonjene šute između daščane oplate drvenih grednika.  Između drvenih grednika postaviti slojeve parnu branu i slojeve mineralne vune u visini grednika cca 16 cm. Postaviti prethodno izvedbi sprezanja međukatne konstrukcije flahovima i daščanom oplatom.  Izvesti radove prema uputama proizvođača. Uključiti sav materijal, rad i alat za rad do potpune gotovosti.</t>
  </si>
  <si>
    <t>- os 8 - f</t>
  </si>
  <si>
    <t>- os 8 - e</t>
  </si>
  <si>
    <t>- os 8 - d</t>
  </si>
  <si>
    <t>- os 8 - b</t>
  </si>
  <si>
    <t>- os 1 - a</t>
  </si>
  <si>
    <t>- os 2 - a</t>
  </si>
  <si>
    <t>- os 3 - a</t>
  </si>
  <si>
    <t>- os 6 - a</t>
  </si>
  <si>
    <t>Ojačanje međukatne konstrukcije sprezanjem s AB pločom</t>
  </si>
  <si>
    <t>pod potkrovlja</t>
  </si>
  <si>
    <t xml:space="preserve">pod potkrovlja </t>
  </si>
  <si>
    <t>1a.</t>
  </si>
  <si>
    <t>1b.</t>
  </si>
  <si>
    <t>1c.</t>
  </si>
  <si>
    <t>1d.</t>
  </si>
  <si>
    <t>1e.</t>
  </si>
  <si>
    <t>1f.</t>
  </si>
  <si>
    <t>1g.</t>
  </si>
  <si>
    <t>1h.</t>
  </si>
  <si>
    <t>1i.</t>
  </si>
  <si>
    <t>1j.</t>
  </si>
  <si>
    <t>1k.</t>
  </si>
  <si>
    <t>1l.</t>
  </si>
  <si>
    <t>2a.</t>
  </si>
  <si>
    <t>2b.</t>
  </si>
  <si>
    <t>2c.</t>
  </si>
  <si>
    <t>2d.</t>
  </si>
  <si>
    <t>2e.</t>
  </si>
  <si>
    <t>2f.</t>
  </si>
  <si>
    <t>2g.</t>
  </si>
  <si>
    <t>2h.</t>
  </si>
  <si>
    <t>2i.</t>
  </si>
  <si>
    <t>2j.</t>
  </si>
  <si>
    <t>2k.</t>
  </si>
  <si>
    <t>2l.</t>
  </si>
  <si>
    <t xml:space="preserve">Dobava i postava zaštitne folije za pokrivanje poda gdje se radi, a kao zaštita od oštećenja. Hodne plohe treba zaštititi PE folijom dok sve rubne površine uz rubove vrata, štokove, prekidače, ormariće i sl treba zaštititi pik trakom koju nakon završetka radova treba ukloniti. Radove treba izvoditi pažljivo i precizno. </t>
  </si>
  <si>
    <t>3a.</t>
  </si>
  <si>
    <t>3b.</t>
  </si>
  <si>
    <t>3c.</t>
  </si>
  <si>
    <t>3d.</t>
  </si>
  <si>
    <t>3e.</t>
  </si>
  <si>
    <t>3f.</t>
  </si>
  <si>
    <t>3g.</t>
  </si>
  <si>
    <t>3h.</t>
  </si>
  <si>
    <t>3i.</t>
  </si>
  <si>
    <t>3j.</t>
  </si>
  <si>
    <t>3k.</t>
  </si>
  <si>
    <t>3l.</t>
  </si>
  <si>
    <t>4a.</t>
  </si>
  <si>
    <t>4b.</t>
  </si>
  <si>
    <t>4c.</t>
  </si>
  <si>
    <t>5a.</t>
  </si>
  <si>
    <t>5b.</t>
  </si>
  <si>
    <t>Pažljivo ručno obijanje trošne žbuke i obloge zidova na mjestima sidrenja, debljine 2,5-4 cm s definiranih ravnih ploha zidova do čiste, ravne, čvrste i suhe podloge.  Pri uklanjanju žbuke na vanjskoj strani zida voditi brigu o svim profilacijama u zidu i oko otvora te postupati u skladu s uputama konzervatorskog zavoda. Ziđe pročelja je od opeke. Nakon obijanja žbuke zid očistiti čeličnim četkama, a reške skobama do dubine od 2 cm. Potom cijelu površinu otprašiti i isprati vodom pod tlakom. Utovar, odvoz i istovar na lokaciju  udaljenu do 10 km. Obračun po m2. 5 komada po cijeloj etaži, 2 komada u podrumskoj etaži iznad razine tla.</t>
  </si>
  <si>
    <t>podrum</t>
  </si>
  <si>
    <t>prizemlje</t>
  </si>
  <si>
    <t>1.kat</t>
  </si>
  <si>
    <t>2.kat</t>
  </si>
  <si>
    <t>3.kat</t>
  </si>
  <si>
    <t>utovar i odvoz uz koeficijent rastresitosti</t>
  </si>
  <si>
    <r>
      <t>Pažljivo ručno obijanje trošne žbuke debljine       2,5-5 cm s definiranih ravnih ploha  zidova do čiste, ravne, čvrste i suhe podloge.  Ziđe je od opeke.  Utovar, odvoz i istovar na lokaciju  udaljenu do 20 km. Obračun po m</t>
    </r>
    <r>
      <rPr>
        <vertAlign val="superscript"/>
        <sz val="10"/>
        <rFont val="Arial"/>
        <family val="2"/>
      </rPr>
      <t>3</t>
    </r>
    <r>
      <rPr>
        <sz val="10"/>
        <rFont val="Arial"/>
        <family val="2"/>
      </rPr>
      <t xml:space="preserve">. </t>
    </r>
  </si>
  <si>
    <r>
      <t>Nakon obijanja žbuke zid očistiti čeličnim četkama, a reške skobama do dubine od 2 cm. Potom cijelu površinu otprašiti i isprati vodom pod tlakom. Utovar, odvoz i istovar na lokaciju  udaljenu do 20 km. Obračun po m</t>
    </r>
    <r>
      <rPr>
        <vertAlign val="superscript"/>
        <sz val="10"/>
        <rFont val="Arial"/>
        <family val="2"/>
      </rPr>
      <t>2</t>
    </r>
    <r>
      <rPr>
        <sz val="10"/>
        <rFont val="Arial"/>
        <family val="2"/>
      </rPr>
      <t xml:space="preserve">. </t>
    </r>
  </si>
  <si>
    <t>9a.</t>
  </si>
  <si>
    <t>9b.</t>
  </si>
  <si>
    <t>11a.</t>
  </si>
  <si>
    <t>11b.</t>
  </si>
  <si>
    <t>12a.</t>
  </si>
  <si>
    <t>12b.</t>
  </si>
  <si>
    <t>14a.</t>
  </si>
  <si>
    <t>14b.</t>
  </si>
  <si>
    <t>14c.</t>
  </si>
  <si>
    <t>14d.</t>
  </si>
  <si>
    <t>15a.</t>
  </si>
  <si>
    <t>18a.</t>
  </si>
  <si>
    <t>15b.</t>
  </si>
  <si>
    <t>16a.</t>
  </si>
  <si>
    <t>16b.</t>
  </si>
  <si>
    <t>18b.</t>
  </si>
  <si>
    <t>Skidanje podne obloge  i daščane oplate. Pretpostavljena debljina slojeva iznosi do 15 cm završnog sloja (pretpostavka je da je izliven estrih)te daščana oplata 2,4 cm (kako bi došli do šute da ju izvadimo i zamjenimo mineralnom vunom). Uklonjene slojeve deponirati na odgovarajuću deponiju za građevinski materijal do 20km od gradilišta. Obračun po m2. U stavku ulazi uklanjanje, utovar, prijevoz i deponiranje. U stavku uključiti sve potrebne materijale, rad i opremu za izvedbu do potpune gotovosti.</t>
  </si>
  <si>
    <t>19a.</t>
  </si>
  <si>
    <t>19b.</t>
  </si>
  <si>
    <t>19c.</t>
  </si>
  <si>
    <t>19d.</t>
  </si>
  <si>
    <t xml:space="preserve">utovar i odvoz </t>
  </si>
  <si>
    <t>23.</t>
  </si>
  <si>
    <t>23a.</t>
  </si>
  <si>
    <t>23b.</t>
  </si>
  <si>
    <t>m'</t>
  </si>
  <si>
    <t>24.</t>
  </si>
  <si>
    <t>25.</t>
  </si>
  <si>
    <t>26.</t>
  </si>
  <si>
    <t>25a.</t>
  </si>
  <si>
    <t>25b.</t>
  </si>
  <si>
    <t>Doprema radne skele za rad u zatvorenom prostoru. Visina do 5 m, duljina segmetna 2,5 m. Obračun po komadu.</t>
  </si>
  <si>
    <t>- potrebno do 4 komada po objektu da se koriste istovremeno</t>
  </si>
  <si>
    <r>
      <t xml:space="preserve">Doprema na gradilište, montaža, demontaža i odvoz s gradilišta cijevne fasadne skele od bešavnih cijevi. Skelu izvesti prema projektu skele i statičkom računu koji je izvođač dužan napraviti prije izvedbe skele, prema važećim standardima, propisima i pravilima struke. Uključivo radne platforme od mosnica i zaštitne ograde (visine min. 1,2 m),  sva potrebna ukrućenja i sidrenja. Skelu osigurati sidrenjem u zgradu, a zaštititi od groma uzemljenjem. U jediničnu cijenu uključiti i zaštitni zastor od jutenih ili PE traka po cijeloj površini vanjske strane skele, željezne ili drvene ljestve – penjalice i sav potreban pomoćni materijal i pribor. Sav transport materijala, rad i komunikacije vrši se isključivo s vanjske strane građevine, preko skele, a ne kroz zgradu.
Prije davanja ponude ponuditelj može pregledom situacije, konfiguracije terena i geometrije pročelja ustanoviti mogućnosti postave skele na svim dijelovima pročelja, uvjete pristupa, osiguranja prolaza, ulaza i prostora za odlaganje materijala i zaštite drugih ploha i vegetacije. Visina skele do 23 m. Skela se radi samo na mjestu ojačavanja uglova zgrade i za vanjsko torkretiranje. Obračun se vrši po vertikalnoj projekciji. </t>
    </r>
    <r>
      <rPr>
        <b/>
        <sz val="10"/>
        <rFont val="Arial"/>
        <family val="2"/>
      </rPr>
      <t>Moguće je koristiti istu skelu širine 2,0 m na svim mjestima.</t>
    </r>
  </si>
  <si>
    <t>1. kat</t>
  </si>
  <si>
    <t>2. kat</t>
  </si>
  <si>
    <t>3. kat</t>
  </si>
  <si>
    <t>šipke Φ16, L= 1,5 m, kom = 30</t>
  </si>
  <si>
    <t>pločice 100x100x8 mm, kom = 30</t>
  </si>
  <si>
    <t>10a.</t>
  </si>
  <si>
    <t>10b.</t>
  </si>
  <si>
    <t>6a.</t>
  </si>
  <si>
    <t>6b.</t>
  </si>
  <si>
    <t>7a.</t>
  </si>
  <si>
    <t>7b.</t>
  </si>
  <si>
    <t>9c.</t>
  </si>
  <si>
    <t>9d.</t>
  </si>
  <si>
    <t>9e.</t>
  </si>
  <si>
    <t>9f.</t>
  </si>
  <si>
    <t>9g.</t>
  </si>
  <si>
    <t>10c.</t>
  </si>
  <si>
    <t>10d.</t>
  </si>
  <si>
    <t>10e.</t>
  </si>
  <si>
    <t>10f.</t>
  </si>
  <si>
    <t>10g.</t>
  </si>
  <si>
    <t>11c.</t>
  </si>
  <si>
    <t>11d.</t>
  </si>
  <si>
    <t>11e.</t>
  </si>
  <si>
    <t>11f.</t>
  </si>
  <si>
    <r>
      <t xml:space="preserve">Nabava materijala i nanošenje </t>
    </r>
    <r>
      <rPr>
        <b/>
        <sz val="10"/>
        <rFont val="Arial"/>
        <family val="2"/>
      </rPr>
      <t>završnog sloja</t>
    </r>
    <r>
      <rPr>
        <sz val="10"/>
        <rFont val="Arial"/>
        <family val="2"/>
      </rPr>
      <t xml:space="preserve"> zrna debljine do 2 mm uz prethodno premazivanje zidova silikatnom kontakt podlogom.  Završni sloj izvesti u zrnatosti i obradi poput izvorne, po nalogu konzervatorskog nadzora, sukladno zonama u kojima se nanosi.</t>
    </r>
  </si>
  <si>
    <t>12c.</t>
  </si>
  <si>
    <t>12d.</t>
  </si>
  <si>
    <t>12e.</t>
  </si>
  <si>
    <t>12f.</t>
  </si>
  <si>
    <t>ZEMLJANI RADOVI</t>
  </si>
  <si>
    <t>ZEMLJANI RADOVI UKUPNO:</t>
  </si>
  <si>
    <t>beton</t>
  </si>
  <si>
    <t>8a.</t>
  </si>
  <si>
    <t>8b.</t>
  </si>
  <si>
    <t>6c.</t>
  </si>
  <si>
    <t>7d.</t>
  </si>
  <si>
    <t>7e.</t>
  </si>
  <si>
    <t>7f.</t>
  </si>
  <si>
    <t>13a.</t>
  </si>
  <si>
    <t>13b.</t>
  </si>
  <si>
    <t>13c.</t>
  </si>
  <si>
    <r>
      <t>m</t>
    </r>
    <r>
      <rPr>
        <vertAlign val="superscript"/>
        <sz val="10"/>
        <rFont val="Arial Narrow"/>
        <family val="2"/>
      </rPr>
      <t>3</t>
    </r>
  </si>
  <si>
    <t xml:space="preserve">beton </t>
  </si>
  <si>
    <r>
      <rPr>
        <b/>
        <sz val="10"/>
        <rFont val="Arial"/>
        <family val="2"/>
      </rPr>
      <t>pod potkrovlja</t>
    </r>
    <r>
      <rPr>
        <sz val="10"/>
        <rFont val="Arial"/>
        <family val="2"/>
        <charset val="238"/>
      </rPr>
      <t xml:space="preserve"> - oplata d = 24 mm, C24</t>
    </r>
  </si>
  <si>
    <t>Dobava, montaža i demontaža s učvršćivanjem oplate za armiranobetonske elemente okna lifta dimenzija prema projektu. Oplata mora biti glatka i špricana protiv ljepljenja. Obračun po kompletu. Uključiti sav materijal, rad i alat za rad do potpune gotovosti.</t>
  </si>
  <si>
    <t>Dobava, montaža i demontaža s učvršćivanjem oplate za probadalište lifta dimenzija prema projektu. Oplata mora biti glatka i špricana protiv ljepljenja. Obračun po kompletu. Uključiti sav materijal, rad i alat za rad do potpune gotovosti.</t>
  </si>
  <si>
    <t>VIII</t>
  </si>
  <si>
    <t>IX</t>
  </si>
  <si>
    <t>Ojačanje međukatne konstrukcije</t>
  </si>
  <si>
    <t>GIPSKARTONSKI RADOVI</t>
  </si>
  <si>
    <t>GIPSKARTONSKI RADOVI UKUPNO:</t>
  </si>
  <si>
    <t>PODOPOLAGAČKI RADOVI</t>
  </si>
  <si>
    <t>bitumenski premaz na postojećoj oplati</t>
  </si>
  <si>
    <t>plivajući pod od lakšeg materijala sa XPS-om</t>
  </si>
  <si>
    <t>izravnavajući sloj</t>
  </si>
  <si>
    <t>završni sloj do 3 cm</t>
  </si>
  <si>
    <t>PODOPOLAGAČKI RADOVI UKUPNO:</t>
  </si>
  <si>
    <t>X</t>
  </si>
  <si>
    <t>Režijski rad po potrebi za pripomoć obrtnicima  koji će se obračunati po stvarnom utrošku rada i materijala prema ovjeri nadzora.</t>
  </si>
  <si>
    <t>NKV</t>
  </si>
  <si>
    <t>h</t>
  </si>
  <si>
    <t>KV</t>
  </si>
  <si>
    <t>prostor na 1. katu (ojačanje zidova CRM-om)</t>
  </si>
  <si>
    <t>prostor na 2. katu (ojačanje zidova CRM-om)</t>
  </si>
  <si>
    <t>prostor na 3. katu (ojačanje zidova CRM-om i ojačanje poda sprezanjem)</t>
  </si>
  <si>
    <t>prostor u potkrovlju (ojačanje zidova/dimnjaka CRM-om i ojačanje poda sprezanjem)</t>
  </si>
  <si>
    <t>torkret zidova u osi 3 i 6 - sve etaže</t>
  </si>
  <si>
    <t>dvorište (izvođenje okna lifta) - sve etaže</t>
  </si>
  <si>
    <t>torkret zidova u osi d i 2 - od PR do POT</t>
  </si>
  <si>
    <t>dvorišna fasada - sve etaže</t>
  </si>
  <si>
    <t>torkret zidova u osi 4 i 6 - sve etaže</t>
  </si>
  <si>
    <t>zid u osi a (CRM izvana) - sve etaže</t>
  </si>
  <si>
    <t>zid u osi 8 (CRM izvana) - sve etaže</t>
  </si>
  <si>
    <t>izvođenje završetka dimnjaka na krovu</t>
  </si>
  <si>
    <t>torkret zidova u osi d i 2 - otvori na fasadi             (12 komada)</t>
  </si>
  <si>
    <t>torkret zidova u osi 3 i 6 - otvori na fasadi             (12 komada)</t>
  </si>
  <si>
    <t xml:space="preserve">dvorište (izvođenje okna lifta) - pod </t>
  </si>
  <si>
    <t>dvorišna fasada - otvori na fasadi</t>
  </si>
  <si>
    <t xml:space="preserve">torkret zidova u osi 4 i 6 - otvori </t>
  </si>
  <si>
    <t>zid u osi a (CRM izvana) - otvori na fasadi</t>
  </si>
  <si>
    <t>zid u osi 8 (CRM izvana) - otvori na fasadi</t>
  </si>
  <si>
    <t>prostor na 1. katu (ojačanje zidova CRM-om) - podovi i otvori u unutarnjim zidovima</t>
  </si>
  <si>
    <t>prostor na 2. katu (ojačanje zidova CRM-om) - podovi i otvori u unutarnjim zidovima</t>
  </si>
  <si>
    <t>prostor na 3. katu (ojačanje zidova CRM-om i ojačanje poda sprezanjem) - podovi oko zidova koje ojačavamo i otvori u zidovima</t>
  </si>
  <si>
    <t>prostor u potkrovlju (ojačanje zidova/dimnjaka CRM-om i ojačanje poda sprezanjem) - podovi oko zidova koje ojačavamo i otvori u zidovima</t>
  </si>
  <si>
    <t>- os 5 - a</t>
  </si>
  <si>
    <t>- os 7 - a</t>
  </si>
  <si>
    <t>- os 8 - c</t>
  </si>
  <si>
    <t>- os 1 - d</t>
  </si>
  <si>
    <t>torkret zidova u osi d</t>
  </si>
  <si>
    <t>torkret zidova u osi 2</t>
  </si>
  <si>
    <t>torkret zidova u osi 3</t>
  </si>
  <si>
    <t>torkret zidova u osi 6</t>
  </si>
  <si>
    <t>torkret zidova u osi e</t>
  </si>
  <si>
    <t>torkret zidova u osi 4 - stubište</t>
  </si>
  <si>
    <t>torkret zidova u osi 6 - stubište</t>
  </si>
  <si>
    <t>torkret zidova u osi 3 - nema žbuke</t>
  </si>
  <si>
    <t>torkret zidova u osi e - nema žbuke</t>
  </si>
  <si>
    <t>torkret zidova u osi 6 - nema žbuke</t>
  </si>
  <si>
    <t>torkret zidova u osi d -  nema žbuke</t>
  </si>
  <si>
    <t>torkret zidova u osi 2 - nema žbuke</t>
  </si>
  <si>
    <t>8c.</t>
  </si>
  <si>
    <t>8d.</t>
  </si>
  <si>
    <t>8e.</t>
  </si>
  <si>
    <t>8f.</t>
  </si>
  <si>
    <t>8g.</t>
  </si>
  <si>
    <t>Lokalno ojačanje zidova CRM sustavom</t>
  </si>
  <si>
    <r>
      <t>Pažljivo ručno obijanje završne obloge (trošne žbuke) debljine 2,5-5 cm s definiranih ravnih ploha zidova do čiste, ravne, čvrste i suhe podloge.  Ziđe je od opeke.  Utovar, odvoz i istovar na lokaciju  udaljenu do 20 km. Obračun po m</t>
    </r>
    <r>
      <rPr>
        <vertAlign val="superscript"/>
        <sz val="10"/>
        <rFont val="Arial"/>
        <family val="2"/>
      </rPr>
      <t>3</t>
    </r>
    <r>
      <rPr>
        <sz val="10"/>
        <rFont val="Arial"/>
        <family val="2"/>
      </rPr>
      <t xml:space="preserve">. </t>
    </r>
  </si>
  <si>
    <t>zid u osi a - izvana</t>
  </si>
  <si>
    <t>zid u osi 8 - izvana</t>
  </si>
  <si>
    <t>prostor na 1. katu - unutar stanova</t>
  </si>
  <si>
    <t>prostor na 2. katu - unutar stanova</t>
  </si>
  <si>
    <t>prostor na 3. katu - unutar stanova</t>
  </si>
  <si>
    <t>prostor u potkrovlju - unutar stanova</t>
  </si>
  <si>
    <t>13d.</t>
  </si>
  <si>
    <t>13e.</t>
  </si>
  <si>
    <t>13f.</t>
  </si>
  <si>
    <t>pod 3. kata</t>
  </si>
  <si>
    <t>završni slojevi poda - parket</t>
  </si>
  <si>
    <t>- estrih do 15 cm</t>
  </si>
  <si>
    <t xml:space="preserve">Izvedba AB ploče na mjestu stropa gdje sada nedostaju
</t>
  </si>
  <si>
    <t>masivna gazišta</t>
  </si>
  <si>
    <t>Rušenje stubišnih krakova i podesta zbog derutnog stanja istih. Prvo ukinuti masivna predgotovljena gazišta koji imaju oslonac u zidu s jedne strane a na čeličnoj traverzi s druge strane. Nakon gazišta, demolirati čelične traverze. U cijenu uključeno demoliranje i transport na deponiju do 20 km od gradilišta.</t>
  </si>
  <si>
    <t>čelične traverze</t>
  </si>
  <si>
    <t>Ojačanje zida u osi f ušlicavanjem VS i HS</t>
  </si>
  <si>
    <t xml:space="preserve">- ulično pročelje - os a </t>
  </si>
  <si>
    <t>- dvorišno pročelje - os f</t>
  </si>
  <si>
    <t>- dvorišno pročelje - os 3</t>
  </si>
  <si>
    <t>- dvorišno pročelje - os e</t>
  </si>
  <si>
    <t>- dvorišno pročelje - os 6</t>
  </si>
  <si>
    <t>- stubišni zid u osi 4</t>
  </si>
  <si>
    <t>- stubišni zid u osi 6</t>
  </si>
  <si>
    <t>šipke Φ16, L= 1,5 m, kom = 10</t>
  </si>
  <si>
    <t>pločice 100x100x8 mm, kom = 10</t>
  </si>
  <si>
    <t>šipke Φ16, L= 1,5 m, kom = 15</t>
  </si>
  <si>
    <t>pločice 100x100x8 mm, kom = 15</t>
  </si>
  <si>
    <t>Žbukanje i završne slojeve na mjestima sidrenja obuhvaćeno u stavkama za torkret ili u projektu fasade</t>
  </si>
  <si>
    <t>4d.</t>
  </si>
  <si>
    <t>4e.</t>
  </si>
  <si>
    <t>4f.</t>
  </si>
  <si>
    <t>4g.</t>
  </si>
  <si>
    <t>Rabiciranje staklenom mrežicom. Armirna mrežica je staklena mrežica visoke kvalitete. Mrežica se koristi za armirni sloj i utiskuje se u površinu čeličnim gleterom. Mrežica se mora utisnuti u zadnju trećinu debljine armirnog sloja. Utiskuje se „mokro na mokro“ s minimalno 10 cm preklapanja. Mrežica se prekriva s 1 mm ljepila. Nakon postavljene površine mrežice, višak mrežice se odreže. Nakon završetka izrade mrežica ne smije biti vidljiva.  U cijenu stavke uključen je sav potreban rad, materijal, faktori i transport.</t>
  </si>
  <si>
    <t>6d.</t>
  </si>
  <si>
    <t>6e.</t>
  </si>
  <si>
    <t>6f.</t>
  </si>
  <si>
    <t>7c.</t>
  </si>
  <si>
    <t>Završni sloj (fasada) na zidove u osi a i osi 8 će se obračunati u posebnom projektu fasade</t>
  </si>
  <si>
    <t>Sidra ∅14 za sidrenje CRM u temelje/zid na svakih 50 cm , L = 100 cm, B500B. Rupu zapuniti epoxy smolom.</t>
  </si>
  <si>
    <t>zid u osi a - razina tla</t>
  </si>
  <si>
    <t>zid u osi 8 - razina tla</t>
  </si>
  <si>
    <r>
      <rPr>
        <b/>
        <sz val="10"/>
        <rFont val="Arial"/>
        <family val="2"/>
      </rPr>
      <t>pod 3. kata</t>
    </r>
    <r>
      <rPr>
        <sz val="10"/>
        <rFont val="Arial"/>
        <family val="2"/>
        <charset val="238"/>
      </rPr>
      <t xml:space="preserve"> - Ø14; L = 100 cm, n = 310 kom </t>
    </r>
  </si>
  <si>
    <r>
      <rPr>
        <b/>
        <sz val="10"/>
        <rFont val="Arial"/>
        <family val="2"/>
      </rPr>
      <t xml:space="preserve">pod potkrovlja </t>
    </r>
    <r>
      <rPr>
        <sz val="10"/>
        <rFont val="Arial"/>
        <family val="2"/>
        <charset val="238"/>
      </rPr>
      <t xml:space="preserve">- Ø14; L = 100 cm, n = 310 kom </t>
    </r>
  </si>
  <si>
    <r>
      <rPr>
        <b/>
        <sz val="10"/>
        <rFont val="Arial"/>
        <family val="2"/>
      </rPr>
      <t>pod 3.kata</t>
    </r>
    <r>
      <rPr>
        <sz val="10"/>
        <rFont val="Arial"/>
        <family val="2"/>
        <charset val="238"/>
      </rPr>
      <t xml:space="preserve"> - spojna sredstva Ø14, </t>
    </r>
    <r>
      <rPr>
        <sz val="10"/>
        <rFont val="Arial"/>
        <family val="2"/>
      </rPr>
      <t>n ≈ 2200</t>
    </r>
    <r>
      <rPr>
        <sz val="10"/>
        <rFont val="Arial"/>
        <family val="2"/>
        <charset val="238"/>
      </rPr>
      <t xml:space="preserve"> kom, L=35 cm </t>
    </r>
  </si>
  <si>
    <r>
      <rPr>
        <b/>
        <sz val="10"/>
        <rFont val="Arial"/>
        <family val="2"/>
      </rPr>
      <t>pod potkrovlja</t>
    </r>
    <r>
      <rPr>
        <sz val="10"/>
        <rFont val="Arial"/>
        <family val="2"/>
        <charset val="238"/>
      </rPr>
      <t xml:space="preserve"> - spojna sredstva Ø14</t>
    </r>
    <r>
      <rPr>
        <sz val="10"/>
        <rFont val="Arial"/>
        <family val="2"/>
      </rPr>
      <t>, n ≈ 2200</t>
    </r>
    <r>
      <rPr>
        <sz val="10"/>
        <rFont val="Arial"/>
        <family val="2"/>
        <charset val="238"/>
      </rPr>
      <t xml:space="preserve"> kom, L=35 cm </t>
    </r>
  </si>
  <si>
    <t>Doprema, montaža i uklanjanje građevinskih podupirača (šteheri) za izvedbu spregnute tlačne ploče. Postaviti štehere ispod međukatne konstrukcije da podupiru drvene grednike i oplatu prilikom izvedbe betoniranja. Obračun po m2. Uključiti sav materijal, rad i alat za rad do potpune gotovosti.</t>
  </si>
  <si>
    <t>pod 3.kata</t>
  </si>
  <si>
    <t xml:space="preserve"> Ø14/50 cm; L = 100 cm, n = 150 kom (uključene obe zone)</t>
  </si>
  <si>
    <t xml:space="preserve"> strop 2. kata - Ø14/50 cm; L = 100 cm,             n = 80 kom (uključene obe zone)</t>
  </si>
  <si>
    <t xml:space="preserve"> strop 3. kata - Ø14/50 cm; L = 100 cm,              n = 80 kom (uključene obe zone)</t>
  </si>
  <si>
    <r>
      <t>armatura (120 kg/m</t>
    </r>
    <r>
      <rPr>
        <vertAlign val="superscript"/>
        <sz val="10"/>
        <rFont val="Arial"/>
        <family val="2"/>
      </rPr>
      <t>3</t>
    </r>
    <r>
      <rPr>
        <sz val="10"/>
        <rFont val="Arial"/>
        <family val="2"/>
      </rPr>
      <t>)</t>
    </r>
  </si>
  <si>
    <t>AB ploča prizemlja t = 16 cm</t>
  </si>
  <si>
    <t>18c.</t>
  </si>
  <si>
    <t>AB ploča 1.kata t = 16 cm</t>
  </si>
  <si>
    <t>AB ploča 2.kata t = 16 cm</t>
  </si>
  <si>
    <t>AB ploča 3.kata t = 16 cm</t>
  </si>
  <si>
    <t>vertikalni serklaž/stup u zidu u osi 2</t>
  </si>
  <si>
    <t>vertikalni serklaž/stup u zidu u osi 3</t>
  </si>
  <si>
    <t>vertikalni serklaž/stup u zidu u osi 6</t>
  </si>
  <si>
    <t>vertikalni serklaž/stup u zidu u osi 7</t>
  </si>
  <si>
    <t>vertikalni serklaž/stup u zidu u osi 8</t>
  </si>
  <si>
    <t>horizontalni serklaž/greda od osi 2 do osi 3 - razina stropa prizemlja</t>
  </si>
  <si>
    <t>horizontalni serklaž/greda od osi 2 do osi 3 - razina stropa 1. kata</t>
  </si>
  <si>
    <t>armatura za serklaže</t>
  </si>
  <si>
    <t xml:space="preserve">armatura za serklaže </t>
  </si>
  <si>
    <r>
      <rPr>
        <b/>
        <sz val="10"/>
        <rFont val="Arial"/>
        <family val="2"/>
      </rPr>
      <t xml:space="preserve">pod 3. kata </t>
    </r>
    <r>
      <rPr>
        <sz val="10"/>
        <rFont val="Arial"/>
        <family val="2"/>
        <charset val="238"/>
      </rPr>
      <t>- oplata d = 24 mm, C24</t>
    </r>
  </si>
  <si>
    <r>
      <t>Dobava i ugradnja anker šipki za povezivanje postojećih AB greda u</t>
    </r>
    <r>
      <rPr>
        <b/>
        <sz val="10"/>
        <rFont val="Arial"/>
        <family val="2"/>
      </rPr>
      <t xml:space="preserve"> stropu 1. kata </t>
    </r>
    <r>
      <rPr>
        <sz val="10"/>
        <rFont val="Arial"/>
        <family val="2"/>
        <charset val="238"/>
      </rPr>
      <t>i zida u osi 8 i nove AB ploče koja nedostaje. Sidra se izvode iz betonskog rebrastog čelika B500B promjera Ø14 mm, dužine do 100 cm (30 cm u postojećem AB elementu ili ziđu a 70 u novoj AB ploči) i ugrađuju se u gornju zonu i donju zonu na dva mjesta, svakih 50 cm. Uključivo bušenje rupa promjera do Ø16 i ugradnja utiskivanjem sidara epoxy smolom u rupu. Sidra se ugrađuju prije izvođenja nove AB ploče. U cijenu uključen sav potrebni materijal i rad.</t>
    </r>
  </si>
  <si>
    <t>Dobava i ugradnja anker šipki za povezivanje postojećih zidova stubišta i nove AB ploče koja nedostaje. Sidra se izvode iz betonskog rebrastog čelika B500B promjera Ø14 mm, dužine do 100 cm (30 cm u postojećem AB elementu ili ziđu a 70 u novoj AB ploči) i ugrađuju se u gornju zonu i donju zonu na dva mjesta, svakih 50 cm. Uključivo bušenje rupa promjera do Ø16 i ugradnja utiskivanjem sidara epoxy smolom u rupu. Sidra se ugrađuju prije izvođenja nove AB ploče. U cijenu uključen sav potrebni materijal i rad.</t>
  </si>
  <si>
    <t>Dobava i izvedba  AB ploče kod stubišta debljine t = 16 cm. Kvaliteta betona C30/37, zaštitni sloj c = 2,5 cm. Uključen materijal i rad u stavku.</t>
  </si>
  <si>
    <t>ploča u stropu 1. kata</t>
  </si>
  <si>
    <t>ploča stubišta - prizemlje</t>
  </si>
  <si>
    <t>ploča stubišta - 1. kat</t>
  </si>
  <si>
    <t>ploča stubišta - 2. kat</t>
  </si>
  <si>
    <t>ploča stubišta - 3. kat</t>
  </si>
  <si>
    <t>Doprema, montaža i uklanjanje građevinskih podupirača (šteheri) za izvedbu AB ploče. Postaviti štehere ispod međukatne konstrukcije da podupiru oplatu prilikom izvedbe betoniranja. Obračun po m2. Uključiti sav materijal, rad i alat za rad do potpune gotovosti.</t>
  </si>
  <si>
    <t>Dobava, montaža i demontaža s učvršćivanjem oplate za vertikalne serklaže/stupove u osi f. Oplata mora biti glatka i špricana protiv ljepljenja. Obračun po kompletu. Uključiti sav materijal, rad i alat za rad do potpune gotovosti. Oplata nužna uz tri slobodne stranice serklaža. Obračun prema dokaznici stvarno izvedenih radova ovjerenog od strane nadzornog inženjera.</t>
  </si>
  <si>
    <t>Dobava, montaža i demontaža s učvršćivanjem oplate za horizontalne serklaže/grede u osi f. Oplata mora biti glatka i špricana protiv ljepljenja. Obračun po kompletu. Uključiti sav materijal, rad i alat za rad do potpune gotovosti. Oplata nužna uz tri slobodne stranice serklaža. Obračun prema dokaznici stvarno izvedenih radova ovjerenog od strane nadzornog inženjera.</t>
  </si>
  <si>
    <t>Dimnjaci</t>
  </si>
  <si>
    <t>Nabava, izrada i montaža čelične konstrukcije od zavarenih vertikalnih i horizontalnih profila 40x40x3mm dimenzija prema shemama.  Zavar debljine a=3 cm.Konstrukcija  se spaja s postojećom opekom sa dva vijka M12 kv 5.6 duljine sidrenja min. 10cm na pločevini dimenzija 100x60x3mm zavarenoj na početak svakog vertikalnog elementa. Površinu opeke gdje se spajaju čelični elementi potrebno je očistiti i izravnati slojem podložnog morta debljine 5cm. Predbušene rupe za vijke zapunjuju se epoksidnim ljepilom. Kvaliteta čelika je S235. U stavku uključiti sve potrebne alate, materijale, opremu i rad za izvedbu do potpune gotovosti. Potrebno izvesti 4 takve konstrukcije.</t>
  </si>
  <si>
    <t>dimnjak u osi b između osi 1 i 2</t>
  </si>
  <si>
    <t>dimnjak u osi b između osi 2 i 3</t>
  </si>
  <si>
    <t>dimnjak u osi 7 između osi a i b</t>
  </si>
  <si>
    <t>dimnjak između osi e i f</t>
  </si>
  <si>
    <t>profili 30x30x2mm</t>
  </si>
  <si>
    <t>pločevina 60x60x4 mm</t>
  </si>
  <si>
    <t>vijak M6 kv.4.6</t>
  </si>
  <si>
    <t>Brtvljenje prodora (dimovodne cijevi, ventilacija, razni odušci) na mjestima prodora cijevi kroz vlaknocementnu oblogu i lim oblikovanjem zatvorene brtve u debljini od najmanje 2 cm. Brtvljenje prodora izvesti Waterstop trakom RX101 ili sličnim materijalom.  Svi detalji prema uputstvima proizvođača. Izvesti po tehnologiji i detaljima odabranog proizvođača, koristeći isključivo tehnologijom predviđene materijale i alate sve do funkcionalne gotovosti. Obračun po kompletu.</t>
  </si>
  <si>
    <t>Nabava, doprema materijala i izvedba krovne sintetske UV stabilne hidroizolacijske trake TPO/FPO d = 2 mm (1000 kg/m³), za izradu holkera oko dna dimnjaka. Visina je 10 cm. Rubovi membrane se poklapaju min 5 cm i dvostrano zavaruju vrućim zrakom. Obračun po m'. Stavka uključuje sav rad, alat i materijal do potpune gotovosti.</t>
  </si>
  <si>
    <t>Nabava, rezanje i montaža cementnih ploča za vanjsku primjenu (aquapaneli) za oblaganje dimnjaka iznad razine ravnog krova. Oblažu se s jednim slojem, odnosno jednom pločom. Pričvrščivanje s vijcima za montažu u čeličnu konstrukciju, vijci su samobušivi. Izvesti sve radove prema uputi odabranog proizvođača. U stavku uključiti sve potrebne alate, materijal, opremu i rad za izvedbu do potpune gotovosti. Obračun po m2.</t>
  </si>
  <si>
    <t>Nabava, rezanje i montaža cementnih ploča za vanjsku primjenu (aquapaneli) za izradu kape dimnjaka visine 10 cm . Stavka uključuje i potrebnu podkonstrukciju od CW i UW profila.  Oblažu se s jednim slojem, odnosno jednom pločom. Pričvrščivanje s vijcima za montažu u čeličnu konstrukciju, vijci su samobušivi. Izvesti sve radove prema uputi odabranog proizvođača. U stavku uključiti sve potrebne alate, materijal, opremu i rad za izvedbu do potpune gotovosti. Obračun po m2.</t>
  </si>
  <si>
    <t>XI</t>
  </si>
  <si>
    <t>LIMARSKI RADOVI</t>
  </si>
  <si>
    <t>LIMARSKI RADOVI UKUPNO:</t>
  </si>
  <si>
    <t>Dobava materijala, izrada i montaža opšavnih limova dimnjaka. Izvesti od pocinčanog lima debljine 0,55 mm završno obrađenog plastifikacijom u boji kao postojeći dimnjaci.  Visina lima iznosi 10 cm od dna dimnjaka. Pričvršćivanje samobušivim vijcima u cementne ploče. Obračun po m'. U stavku uključiti sve potrebne alate, materijale, opremu i rad za izvedbu do potpune gotovosti.</t>
  </si>
  <si>
    <t>Vraćanje slojeva poda u stanu. Slojevi poda su plivajući pod, izravnavajući sloj i završni sloj. U cijenu su uključeni komplet rad i materijal.</t>
  </si>
  <si>
    <t xml:space="preserve">Rušenje postojećeg vanjskog zida stubišta zida u osi e. Potrebno rušiti nakon rušenja gazišta i podesta stubišta. Ruši se radi zatvaranja ploča stubišta pa postojeći otvori ne odgovaraju. Opeka normalnog formata . Rad se izvodi razgradnjom uz upotrebu ručnog štemanja zida. Obračun po m3. Cijenom treba obuhvatiti kompletan rad. U cijenu uključen utovar, prijevoz i deponiranje uklonjene pune opeke. Deponirati na odgovarajući deponij za građevinski materijal do 20 km od gradilišta. U stavku uključiti sve potrebne materijale, rad i opremu za izvedbu do potpune gotovosti. </t>
  </si>
  <si>
    <t>zid u osi e</t>
  </si>
  <si>
    <t>VOLUMEN 1</t>
  </si>
  <si>
    <t>VOLUMEN 2</t>
  </si>
  <si>
    <t>VOLUMEN 3</t>
  </si>
  <si>
    <t xml:space="preserve">Betoniranje podložnog betona ispod temelja sa betonom C16/20. U cijenu je uključena dobava, prijevoz i ugradba betona. Cijenom treba obuhvatiti kompletan rad. </t>
  </si>
  <si>
    <t>Izvedba AB zidova i povezivanje istih preko novih AB greda sa okolnim torektiranim zidovima</t>
  </si>
  <si>
    <t xml:space="preserve">Dobava i zidanje zida bloka debljine 35 cm tankoslojnim mortom minimalne marke M5 kvalitete morta tipa B. Prilikom zidanja nije dozvoljeno preklapanje vertikalnih sljubnica. Min. razmak između vertikalnih sljubnica dva susjedna reda smije biti 10cm. U cijeni je sav rad i materijal po uputi proizvođača do potpune gotovosti. Cijenom treba obuhvatiti kompletan rad. </t>
  </si>
  <si>
    <t>- zid u osi 4 u potkrovlju</t>
  </si>
  <si>
    <t>- zid u osi 6 u potkrovlju</t>
  </si>
  <si>
    <t xml:space="preserve">armatura </t>
  </si>
  <si>
    <t xml:space="preserve">Dobava, doprema materijala i izvedba armirano betonskih krakova i podesta u jednostrukoj glatkoj oplati. Betoniranje se vrši betonom C35/45. Debljina ploče je 14 cm.  Armiranje izvesti prema statičkom proračunu i nacrtima armature.
Cijenom treba obuhvatiti sav potreban rad, materijal i pribor. </t>
  </si>
  <si>
    <t>Dobava i ugradnja anker šipki za povezivanje postojećih torkretnih zidova i novih AB podesta stubišta. Sidra se izvode iz betonskog rebrastog čelika B500B promjera Ø14 mm, dužine do 100 cm (30 cm u postojećem AB elementu ili ziđu a 70 u novoj AB ploči) i ugrađuju se u gornju zonu i donju zonu na dva mjesta, svakih 50 cm. Uključivo bušenje rupa promjera do Ø16 i ugradnja utiskivanjem sidara epoxy smolom u rupu. Sidra se ugrađuju prije izvođenja nove AB ploče. U cijenu uključen sav potrebni materijal i rad.</t>
  </si>
  <si>
    <t xml:space="preserve"> Ø14/50 cm; L = 100 cm, n = 96 kom (uključene obe zone i obe strane i sve 4 etaže)</t>
  </si>
  <si>
    <t xml:space="preserve">Dobava materijala, priprema  i ugradnja betona za horizontalne i kose serklaže, razred betona C30/37, granulirani agregat. Visina 20 cm, širina koliko je i širina zida. Najveće zrno agregata do 32 mm. Oplata glatka.  Beton je potrebno kod ugradbe vibrirati, da nestanu gnijezda (segregirani dio). Segregirani dio izvođač snosi popravak na svoj trošak. Sva eventualna potrebna podupiranja i njega betona u periodu od 20 dana su u cijeni stavke. Obračun po m3. Cijenom treba obuhvatiti kompletan rad. Betoniranje se izvodi samo nakon odobrenja nadzornog inženjera. U stavku uključeno dobava, siječenje, savijanje i ugradnja armature  kvalitete čelika B500B.. Obračun po kg. Cijenom treba obuhvatiti kompletan rad. Prethodno betoniranju obavezan je pregled izvedenih armiračkih radova od strane nadzornog inženjera. </t>
  </si>
  <si>
    <t>horizontalni serklaž nad omeđenim ziđem stubišta L = 12,5 m, širina do 0,35 m</t>
  </si>
  <si>
    <t>22a.</t>
  </si>
  <si>
    <t>22b.</t>
  </si>
  <si>
    <t>22c.</t>
  </si>
  <si>
    <t>22d.</t>
  </si>
  <si>
    <t xml:space="preserve"> razina stropa prizemlja</t>
  </si>
  <si>
    <t>razina stropa 1. kata</t>
  </si>
  <si>
    <t xml:space="preserve"> Ø14/50 cm; L = 160 cm, n = 46 kom </t>
  </si>
  <si>
    <t xml:space="preserve"> Ø14/50 cm; L = 140 cm, n = 46 kom </t>
  </si>
  <si>
    <t>horizontalni serklaž/greda - razina stropa prizemlja</t>
  </si>
  <si>
    <t>horizontalni serklaž/greda - razina stropa 1. kata</t>
  </si>
  <si>
    <t>horizontalni serklaž/greda - razina stropa 2. kata</t>
  </si>
  <si>
    <t>horizontalni serklaž/greda - razina stropa 3. kata</t>
  </si>
  <si>
    <t>25c.</t>
  </si>
  <si>
    <t>25d.</t>
  </si>
  <si>
    <t xml:space="preserve"> armatura za povezivanje serklaža i tlačne ploče na podu 3. kata                                </t>
  </si>
  <si>
    <t xml:space="preserve"> armatura za povezivanje serklaža i tlačne ploče na podu potkrovlja        </t>
  </si>
  <si>
    <r>
      <t>m</t>
    </r>
    <r>
      <rPr>
        <vertAlign val="superscript"/>
        <sz val="10"/>
        <color theme="1"/>
        <rFont val="Arial"/>
        <family val="2"/>
      </rPr>
      <t>2</t>
    </r>
  </si>
  <si>
    <t>Dobava, montaža i izvedba nove daščane oplate za izvedbu armirano betonskih krovne ploče nad liftom i nad prolazom te postojećim stubištem. Drvena oplata su daske visine 24mm od punog drva. Spoj daščane oplate i drvenih grednika osiguran je vijcima za drvo 10x100mm.</t>
  </si>
  <si>
    <t>Dobava, montaža i izvedba  armirano betonskih krakova i podesta . Drvena oplata su daske visine 24mm od punog drva. Spoj daščane oplate i drvenih grednika osiguran je vijcima za drvo 10x100mm.</t>
  </si>
  <si>
    <t>Dobava, montaža i demontaža s učvršćivanjem oplate za horizontalne i kose serklaže na zidovima u osi 4 i 6. Oplata mora biti glatka i špricana protiv ljepljenja. Obračun po kompletu. Uključiti sav materijal, rad i alat za rad do potpune gotovosti. Oplata nužna uz tri slobodne stranice serklaža. Obračun prema dokaznici stvarno izvedenih radova ovjerenog od strane nadzornog inženjera.</t>
  </si>
  <si>
    <t>Dobava, montaža i demontaža s učvršćivanjem oplate za horizontalne i kose serklaže nad zidovima u osi 4 i 6. Oplata mora biti glatka i špricana protiv ljepljenja. Obračun po kompletu. Uključiti sav materijal, rad i alat za rad do potpune gotovosti. Oplata nužna uz dvije slobodne stranice serklaža. Obračun prema dokaznici stvarno izvedenih radova ovjerenog od strane nadzornog inženjera.</t>
  </si>
  <si>
    <t>horizontalni serklaž nad omeđenim ziđem stubišta L = 12,5 m</t>
  </si>
  <si>
    <t>betonski prsten nad postojećim torketiranim zidovima stubišta  L = 21 m</t>
  </si>
  <si>
    <t>Dobava, montaža i demontaža s učvršćivanjem oplate za armiranobetonske zidove u osi e. Oplata mora biti glatka i špricana protiv ljepljenja. Obračun po kompletu. Uključiti sav materijal, rad i alat za rad do potpune gotovosti.</t>
  </si>
  <si>
    <t>Dobava, montaža i demontaža s učvršćivanjem oplate za potporni zid osi f. Oplata mora biti glatka i špricana protiv ljepljenja. Obračun po kompletu. Uključiti sav materijal, rad i alat za rad do potpune gotovosti.</t>
  </si>
  <si>
    <t>EUR:</t>
  </si>
  <si>
    <t>R E K A P I T U L A C I J A -  ostali radovi</t>
  </si>
  <si>
    <t xml:space="preserve">Dobava i ugradnja betona za torkretiranje postojećih zidanih zidova. Torkretiranje izvesti jednostrano po unutarnjem obodu zidova  slojem debljine 6 cm. Unutar stavke potrebno uračunati sav potreban materijal i rad, armaturne mreže Q385  i drugi elementi koji su detaljno opisani u projektu sanacije. Torkret je potrebno usidriti u postojeći zidani zid šipkama ∅10 (12 kom po m2). Sidrene šipke je potrebno postaviti prije polaganja armaturne mreže te prema skici savinuti nakon postavljanja mreže. Nakon savijanja šipke pristupa se ugradnji mlaznog betona kvalitete C30/37 mlaznim postupkom optimalno, a ako se ne može, ručno nanositi. Obračun po m2. Cijenom treba obuhvatiti kompletan rad. </t>
  </si>
  <si>
    <r>
      <t>mreža Q385 - 6,06 kg/m</t>
    </r>
    <r>
      <rPr>
        <vertAlign val="superscript"/>
        <sz val="10"/>
        <rFont val="Arial"/>
        <family val="2"/>
      </rPr>
      <t>2</t>
    </r>
  </si>
  <si>
    <t>sidra ∅10 za sidrenje torkreta-12 kom/m2, L=35cm</t>
  </si>
  <si>
    <r>
      <rPr>
        <b/>
        <sz val="10"/>
        <rFont val="Arial"/>
        <family val="2"/>
      </rPr>
      <t>pod 3.kata</t>
    </r>
    <r>
      <rPr>
        <sz val="10"/>
        <rFont val="Arial"/>
        <family val="2"/>
        <charset val="238"/>
      </rPr>
      <t xml:space="preserve"> - armaturna mreža Q188</t>
    </r>
  </si>
  <si>
    <r>
      <rPr>
        <b/>
        <sz val="10"/>
        <rFont val="Arial"/>
        <family val="2"/>
      </rPr>
      <t>pod potkrovlja</t>
    </r>
    <r>
      <rPr>
        <sz val="10"/>
        <rFont val="Arial"/>
        <family val="2"/>
        <charset val="238"/>
      </rPr>
      <t xml:space="preserve"> - armaturna mreža Q188</t>
    </r>
  </si>
  <si>
    <t>Dobava i izvedba  AB ploče debljine u stropu 1. kata t = 20 cm. Kvaliteta betona C30/37, zaštitni sloj c = 2,5 cm. Uključen materijal i rad u stavku.</t>
  </si>
  <si>
    <t>AB ploča t = 20 cm</t>
  </si>
  <si>
    <t xml:space="preserve">Dobava i izvedba armirano betonskih zida u osi e betonom C30/37, t = 20 cm, granulirani agregat. Oplata glatka. Beton je potrebno kod ugradbe vibrirati, da nestanu gnijezda (segregirani dio). Sva eventualna potrebna podupiranja i njega betona u periodu od 20 dana su u cijeni stavke. Obračun po m3. Cijenom treba obuhvatiti kompletan rad. 
 </t>
  </si>
  <si>
    <t xml:space="preserve"> strop prizemlja - Ø14/50 cm; L = 130 cm,             n = 80 kom (uključene obe zone)</t>
  </si>
  <si>
    <t xml:space="preserve"> strop 1. kata - Ø14/50 cm; L = 130 cm,             n = 80 kom (uključene obe zone)</t>
  </si>
  <si>
    <t xml:space="preserve"> Ø16; L = 160 cm, n = 30 kom </t>
  </si>
  <si>
    <t>25e.</t>
  </si>
  <si>
    <t>horizontalni serklaž/greda - razina stropa podruma</t>
  </si>
  <si>
    <t>26a.</t>
  </si>
  <si>
    <t>razina prizemlja</t>
  </si>
  <si>
    <t>DEMONTAŽA, RUŠENJE, PRIPREMA - nepredviđeni radovi:</t>
  </si>
  <si>
    <t>Instalacije koje ometaju predviđeno ojačanje i potrebno ih je izmjestiti</t>
  </si>
  <si>
    <t>stubište kroz sve etaže (torket)</t>
  </si>
  <si>
    <t>demontaža instalacija po zidu za torket stubišta  (obračun po satu rada)</t>
  </si>
  <si>
    <t>ugradnja instalacija po zidu za torket stubišta (obračun po satu rada)</t>
  </si>
  <si>
    <t>ugradnja instalacija po zidu za torket stubišta  (obračun po m' materijala)</t>
  </si>
  <si>
    <t>demontaža instalacija po podu  (obračun po satu rada)</t>
  </si>
  <si>
    <t>ugradnja instalacija po podu  (obračun po satu rada)</t>
  </si>
  <si>
    <t>ugradnja instalacija po podu  (obračun po m' materijala)</t>
  </si>
  <si>
    <t>stan na 3. katu (sprezanje grednika poda tlačnom pločom)</t>
  </si>
  <si>
    <t xml:space="preserve">Razni nepredviđeni radovi koji se mogu pojaviti u toku izvođenja radova. Radovi se izvode po nalogu nadzornog inženjera, i obračunavaju se prema stvarno izvedenim radovima. </t>
  </si>
  <si>
    <t>dodatno zagrađivanje zidova zbog neravnina</t>
  </si>
  <si>
    <t>RUŠENJA, DEMONTAŽE, PRIPREMA - nepredviđeni radovi</t>
  </si>
  <si>
    <t>ZIDARSKI RADOVI - nepredviđeni radovi</t>
  </si>
  <si>
    <t>ZIDARSKI RADOVI - nepredviđeni radovi:</t>
  </si>
  <si>
    <t>BETONSKI I ARMIRANOBETONSKI RADOVI - nepredviđeni radovi</t>
  </si>
  <si>
    <t>BETONSKI I AB RADOVI - nepredviđeni radovi:</t>
  </si>
  <si>
    <t>veća debljina torkreta radi poravnavanja plohe zida - do 2 cm deblji torket mjestimično po potrebi</t>
  </si>
  <si>
    <t>stan na 3. katu dvorišne zgrade - zamjena dijela grednika ako su trule te obrada ležaja(obračun po satu rada) - pretpostavljeno 20 % površine koja se ojačava</t>
  </si>
  <si>
    <r>
      <t>stan na 3. katu dvorišne zgrade  - zamjena dijela grednika ako su trule (obračun po m</t>
    </r>
    <r>
      <rPr>
        <vertAlign val="superscript"/>
        <sz val="10"/>
        <rFont val="Arial"/>
        <family val="2"/>
      </rPr>
      <t>3</t>
    </r>
    <r>
      <rPr>
        <sz val="10"/>
        <rFont val="Arial"/>
        <family val="2"/>
        <charset val="238"/>
      </rPr>
      <t xml:space="preserve"> materijala) - pretpostavljeno 20 % površine koja se ojačava</t>
    </r>
  </si>
  <si>
    <r>
      <t>stan na 3. katu dvorišne zgrade  - umetanje novih greda ukoliko postojeći razmak je veći od 70 cm i dimenzije postojećih greda su manji od pretpostavljenih 18/18 cm  (obračun po m</t>
    </r>
    <r>
      <rPr>
        <vertAlign val="superscript"/>
        <sz val="10"/>
        <rFont val="Arial"/>
        <family val="2"/>
      </rPr>
      <t>3</t>
    </r>
    <r>
      <rPr>
        <sz val="10"/>
        <rFont val="Arial"/>
        <family val="2"/>
        <charset val="238"/>
      </rPr>
      <t xml:space="preserve"> materijala) - pretpostavljeno 20 % površine koja se ojačava</t>
    </r>
  </si>
  <si>
    <t>stan na 3. katu zgrade (sprezanje grednika poda tlačnom pločom)</t>
  </si>
  <si>
    <t xml:space="preserve">TESARSKI RADOVI - nepredviđeni radovi </t>
  </si>
  <si>
    <t>TESARSKI RADOVI - nepredviđeni radovi:</t>
  </si>
  <si>
    <r>
      <t xml:space="preserve">Pripremni radovi za izvođenje geotehničkih radova mlazno injektiranih stupnjaka:
- transport i instalacija strojeva za bušenje i  opreme za injektiranje te mlazni beton
</t>
    </r>
    <r>
      <rPr>
        <sz val="10"/>
        <color rgb="FFFF0000"/>
        <rFont val="Arial"/>
        <family val="2"/>
      </rPr>
      <t xml:space="preserve"> </t>
    </r>
  </si>
  <si>
    <r>
      <t>m</t>
    </r>
    <r>
      <rPr>
        <vertAlign val="superscript"/>
        <sz val="10"/>
        <color rgb="FF000000"/>
        <rFont val="Arial"/>
        <family val="2"/>
      </rPr>
      <t>3</t>
    </r>
  </si>
  <si>
    <r>
      <t>Čišćenje, utovar i odvoz povratne cementne suspenzije prilikom izvođenja mlazno injektiranih stupnjaka. Predviđa se količina od 20% volumena mlaznoinjektiranih stupnjaka.
Obračun po m</t>
    </r>
    <r>
      <rPr>
        <vertAlign val="superscript"/>
        <sz val="10"/>
        <color rgb="FF000000"/>
        <rFont val="Arial"/>
        <family val="2"/>
      </rPr>
      <t>3</t>
    </r>
    <r>
      <rPr>
        <sz val="10"/>
        <color rgb="FF000000"/>
        <rFont val="Arial"/>
        <family val="2"/>
      </rPr>
      <t xml:space="preserve"> zbrinute cementne suspenzije.</t>
    </r>
  </si>
  <si>
    <t>Ispumpavanje vode iz podrumskih prostorija (voda od bušenja i povratne suspenzije). Obračun po danu.</t>
  </si>
  <si>
    <t>dan</t>
  </si>
  <si>
    <t>Iskolčenje osi  mlazno injektiranih stupnjaka. Obračun po komadu iskolčenog stupnjaka.</t>
  </si>
  <si>
    <r>
      <t>m</t>
    </r>
    <r>
      <rPr>
        <vertAlign val="superscript"/>
        <sz val="10"/>
        <rFont val="Arial "/>
      </rPr>
      <t>3</t>
    </r>
  </si>
  <si>
    <r>
      <t>m</t>
    </r>
    <r>
      <rPr>
        <b/>
        <vertAlign val="superscript"/>
        <sz val="10"/>
        <rFont val="Arial"/>
        <family val="2"/>
      </rPr>
      <t>3</t>
    </r>
  </si>
  <si>
    <r>
      <t xml:space="preserve">Dobava, razastiranje, nabijanje i planiranje </t>
    </r>
    <r>
      <rPr>
        <b/>
        <sz val="10"/>
        <rFont val="Arial "/>
      </rPr>
      <t>nasipa tucanika</t>
    </r>
    <r>
      <rPr>
        <sz val="10"/>
        <rFont val="Arial "/>
      </rPr>
      <t xml:space="preserve"> (granulacija Ø0-60mm) do visine od 20 cm kao podložnog sloja ispod podložnog mršavog betona temeljnoj AB ploči. Nasipavanje, nabijanje i valjanje do potrebne zbijenosti. Obavezna kontrola zbijenosti od strane nadležnih institucija (u obvezi izvođača). Cijenom treba obuhvatiti kompletan rad. </t>
    </r>
  </si>
  <si>
    <r>
      <t>m</t>
    </r>
    <r>
      <rPr>
        <vertAlign val="superscript"/>
        <sz val="10"/>
        <rFont val="Arial "/>
      </rPr>
      <t>2</t>
    </r>
  </si>
  <si>
    <r>
      <t>Izvedba</t>
    </r>
    <r>
      <rPr>
        <b/>
        <sz val="10"/>
        <rFont val="Arial "/>
      </rPr>
      <t xml:space="preserve"> zemljanog nasipa</t>
    </r>
    <r>
      <rPr>
        <sz val="10"/>
        <rFont val="Arial "/>
      </rPr>
      <t xml:space="preserve"> od materijala sa deponije gradilišta, uključivo svi lokalni transporti sa utovarom na kamion i istovar na traženu lokaciju. Nasip izvoditi malim strojevima uz nabijanje svakih 30 cm.  Cijenom treba obuhvatiti kompletan rad. </t>
    </r>
  </si>
  <si>
    <t xml:space="preserve">Izvedba AB zidova i povezivanje istih preko novih AB greda sa okolnim torektiranim zidovima                                                                 te ojačanje zida u osi f ušlicavanjem VS i HS                                                                                      te MIS
</t>
  </si>
  <si>
    <r>
      <t xml:space="preserve">Stavka obuhvaća </t>
    </r>
    <r>
      <rPr>
        <b/>
        <sz val="10"/>
        <rFont val="Arial "/>
      </rPr>
      <t>iskop zemlje</t>
    </r>
    <r>
      <rPr>
        <sz val="10"/>
        <rFont val="Arial "/>
      </rPr>
      <t xml:space="preserve"> u dvorištu zbog izvedbe temelja za torkret i za novi AB okvir te ojačanje temelja MIS-a, </t>
    </r>
    <r>
      <rPr>
        <b/>
        <sz val="10"/>
        <rFont val="Arial "/>
      </rPr>
      <t>fino planiranje dna jame</t>
    </r>
    <r>
      <rPr>
        <sz val="10"/>
        <rFont val="Arial "/>
      </rPr>
      <t xml:space="preserve"> na propisanu visinu i nagib, utovar, prijevoz, istovar i razastiranje iskopanog materijala na gradilište, </t>
    </r>
    <r>
      <rPr>
        <b/>
        <sz val="10"/>
        <rFont val="Arial "/>
      </rPr>
      <t xml:space="preserve">izrada podloge od pijeska </t>
    </r>
    <r>
      <rPr>
        <sz val="10"/>
        <rFont val="Arial "/>
      </rPr>
      <t xml:space="preserve">do  10 cm. Zbijenosti i dokaz kvalitete prema uputi nadzornog inženjera. </t>
    </r>
  </si>
  <si>
    <t>VOLUMEN 1 - kod osi 2</t>
  </si>
  <si>
    <t>VOLUMEN 2 - kod osi f (rubovi)</t>
  </si>
  <si>
    <t>VOLUMEN 3 - kod osi f (sredina)</t>
  </si>
  <si>
    <t>VOLUMEN 4 - atrij</t>
  </si>
  <si>
    <t>utovar i odvoz uz koeficijent rastresitosti - bez 1a., 1.b i 1.c</t>
  </si>
  <si>
    <r>
      <t>A =  35 m</t>
    </r>
    <r>
      <rPr>
        <vertAlign val="superscript"/>
        <sz val="10"/>
        <rFont val="Arial "/>
      </rPr>
      <t>2</t>
    </r>
  </si>
  <si>
    <t>Ojačanje zida u osi f ušlicavanjem VS i HS i ojačanje temelja MIS-a</t>
  </si>
  <si>
    <t>zid u osi f - do 6 redova cigle po vrhu zidova prizemlja koji u cjelosti ne rušimo</t>
  </si>
  <si>
    <t xml:space="preserve">Rušenje postojećeg zida u osi f. Obračun po m3. Poduprijeti strop prizemlja ukoliko se oslanja na taj zid. Cijenom treba obuhvatiti kompletan rad. U cijenu uključen utovar, prijevoz i deponiranje uklonjene pune opeke. Deponirati na odgovarajući deponij za građevinski materijal do 20 km od gradilišta. U stavku uključiti sve potrebne materijale, rad i opremu za izvedbu do potpune gotovosti. </t>
  </si>
  <si>
    <t>zid u osi f prizemlje - dio između osi 3 i 6</t>
  </si>
  <si>
    <t>zid u osi f kroz 1. kat,2. kat i 3.kat</t>
  </si>
  <si>
    <t>Dobava i ugradnja anker šipki za povezivanje postojećih temelja i novih temeljnih traka za zid u osi 2. Sidra se izvode iz betonskog rebrastog čelika B500B promjera Ø14 mm, dužine do 85 cm (50 cm u postojećem temelju a 35 cm u novom AB temelju) i ugrađuju se u godnju zonu i donju zonu na dva mjesta, svakih 50 cm. Uključivo bušenje rupa promjera do Ø16 i dužine oko 55 cm u postojećim temeljima i ugradnja utiskivanjem sidara epoxy smolom u rupu. Sidra se ugrađuju prije izvođenja novog AB temelja. U cijenu uključen sav potrebni materijal i rad.</t>
  </si>
  <si>
    <t xml:space="preserve"> Ø14; L = 0,85 m, n = 35 kom (uključena i gornja i donja zona) </t>
  </si>
  <si>
    <t>Dobava i izvedba  AB temeljne trake z atorkret oko osi 2, dimenzija b/h = 30/30 cm. Kvaliteta betona C30/37, zaštitni sloj c = 4 cm. Uključen materijal i rad u stavku.</t>
  </si>
  <si>
    <t>beton C30/37</t>
  </si>
  <si>
    <t>Dobava i izvedba  AB temeljne ploče i AB probadališta lifta, visine 40 cm. Kvaliteta betona C30/37, zaštitni sloj c = 4 cm. Uključen materijal i rad u stavku.</t>
  </si>
  <si>
    <t>Torkretiranje i ojačanje zida u osi f ušlicavanjem VS i HS (zajednički temelji)                             te MIS</t>
  </si>
  <si>
    <t>Izvedba bušotina kroz postojeće temelje i temeljnu ploču, specijalnom geotehničkom bušilicom malih dimenzija za rad u skučenom i zatvorenom prostoru.</t>
  </si>
  <si>
    <t>Obračun po m' izvedene bušotine.</t>
  </si>
  <si>
    <t>Izvedba podbetoniravanja postojećih temelja tehnologijom mlaznoinjektiranih stupnjaka (MIS)</t>
  </si>
  <si>
    <t>Izvedba bušotina specijalnom geotehničkom bušilicom malih dimenzija za izvedbu mlazno injektiranih stupnjaka u skučenom i zatvorenom prostoru.</t>
  </si>
  <si>
    <t xml:space="preserve">Izvedba injektiranja monofluidnih mlazno injektiranih stupnjaka promjera 70 cm s predviđenim utroškom cementa od 200 do 250 kg/m'. </t>
  </si>
  <si>
    <t>Dobava, doprema i ugradnja čeličnih šipki promjera fi 18 mm, kvalitete čelika B500B. Duljina čeličnih šipki ovisi o tipu mlazno injektiranog stupnjaka u koji se ugrađuje. 
Obračun po m' izvedenog stupnjaka.</t>
  </si>
  <si>
    <t>TIP A,</t>
  </si>
  <si>
    <t>- kosi stupnjaci: 25 kom x 10,0 m</t>
  </si>
  <si>
    <t>TIP B</t>
  </si>
  <si>
    <t>- kosi stupnjaci: 22 kom x 8,0 m</t>
  </si>
  <si>
    <t>Ukupno:</t>
  </si>
  <si>
    <t>Prethodna i kontrolna ispitivanja injekcione smjese za stupnjake te izrada izvještaja. Obračun paušalno.</t>
  </si>
  <si>
    <t>7g.</t>
  </si>
  <si>
    <r>
      <rPr>
        <b/>
        <sz val="10"/>
        <rFont val="Arial"/>
        <family val="2"/>
      </rPr>
      <t>pod 3.kata</t>
    </r>
    <r>
      <rPr>
        <sz val="10"/>
        <rFont val="Arial"/>
        <family val="2"/>
        <charset val="238"/>
      </rPr>
      <t xml:space="preserve"> - šipke L = 150 cm, </t>
    </r>
    <r>
      <rPr>
        <sz val="10"/>
        <rFont val="Symbol"/>
        <family val="1"/>
        <charset val="2"/>
      </rPr>
      <t>f</t>
    </r>
    <r>
      <rPr>
        <sz val="10"/>
        <rFont val="Arial"/>
        <family val="2"/>
        <charset val="238"/>
      </rPr>
      <t xml:space="preserve"> 14/50 cm,  za povezivanje spregnutih polja kroz postojeće nosive zidove</t>
    </r>
  </si>
  <si>
    <r>
      <rPr>
        <b/>
        <sz val="10"/>
        <rFont val="Arial"/>
        <family val="2"/>
      </rPr>
      <t>pod potkrovlja</t>
    </r>
    <r>
      <rPr>
        <sz val="10"/>
        <rFont val="Arial"/>
        <family val="2"/>
        <charset val="238"/>
      </rPr>
      <t xml:space="preserve"> - šipke L = 150 cm, </t>
    </r>
    <r>
      <rPr>
        <sz val="10"/>
        <rFont val="Symbol"/>
        <family val="1"/>
        <charset val="2"/>
      </rPr>
      <t>f</t>
    </r>
    <r>
      <rPr>
        <sz val="10"/>
        <rFont val="Arial"/>
        <family val="2"/>
        <charset val="238"/>
      </rPr>
      <t xml:space="preserve"> 14/50 cm,  za povezivanje spregnutih polja kroz postojeće nosive zidove</t>
    </r>
  </si>
  <si>
    <r>
      <rPr>
        <b/>
        <sz val="10"/>
        <rFont val="Arial "/>
      </rPr>
      <t>L kutnik (anker)</t>
    </r>
    <r>
      <rPr>
        <sz val="10"/>
        <rFont val="Arial "/>
      </rPr>
      <t xml:space="preserve"> svakih 15 cm iz tlačne ploče za sidrenje zabata potkrovlja</t>
    </r>
  </si>
  <si>
    <t xml:space="preserve">Dobava, doprema materijala i izvedba armirano betonskih krovne ploče nad liftom i nad prolazom te postojećim stubištem u jednostrukoj glatkoj oplati. Betoniranje se vrši betonom C30/37. Debljina ploče je 16 cm.  Armiranje izvesti prema statičkom proračunu i nacrtima armature.
Cijenom treba obuhvatiti sav potreban rad, materijal i pribor. </t>
  </si>
  <si>
    <t xml:space="preserve">Dobava i izvedba armirano betonskih zidova lifta betonom C30/37, t = 20 cm, granulirani agregat. Oplata glatka. Beton je potrebno kod ugradbe vibrirati, da nestanu gnijezda (segregirani dio). Sva eventualna potrebna podupiranja i njega betona u periodu od 20 dana su u cijeni stavke. Obračun po m3. Cijenom treba obuhvatiti kompletan rad. 
 </t>
  </si>
  <si>
    <t>21a.</t>
  </si>
  <si>
    <t>21b.</t>
  </si>
  <si>
    <t>21c.</t>
  </si>
  <si>
    <t>21d.</t>
  </si>
  <si>
    <t>26b.</t>
  </si>
  <si>
    <t>27.</t>
  </si>
  <si>
    <t xml:space="preserve"> Ø16/15 cm; L = 120 cm, n = 95 kom (na duljini od 14 m)</t>
  </si>
  <si>
    <t xml:space="preserve">Dobava i ugradnja sidara za povezivanje novog horizontalnog AB serklaža i postojećeg zidanog zida prizemlja u osi f. Sidra se izvode iz betonskog rebrastog čelika B500B promjera Ø14 mm, dužine L = 60+60=120 cm (60 cm u ziđu i ostatak u armaturni koš) i ugrađuju se na svakih 15 cm. Uključivo bušenje rupa promjera do Ø18  zapunjavanja rupe epoxy smolom. Sidra se ugrađuju prije ugradnje armature serklaža i betoniranja iste. U cijenu uključen sav potrebni materijal. </t>
  </si>
  <si>
    <t xml:space="preserve">Dobava i ugradnja sidara za povezivanje novih AB greda i postojećih AB ploča. Sidra se izvode iz betonskog rebrastog čelika B500B promjera Ø14 mm, dužine L = 140 cm (50 cm u ziđu i ostatak u armaturni koš)za strop 1. kata i              L = 160 cm (50 cm u ziđe i ostatak u armaturni koš) za strop prizemlja i ugrađuju se na svakih 50 cm. Uključivo bušenje rupa promjera do Ø18 i zapunjavanja epoxy smolom. Sidra se ugrađuju prije ugradnje armature serklaža i betoniranja iste. U cijenu uključen sav potrebni materijal. </t>
  </si>
  <si>
    <t xml:space="preserve">Dobava i ugradnja sidara za povezivanje novih AB stupova i postojećeg zidova. Sidra se izvode iz betonskog rebrastog čelika B500B promjera Ø16 mm, dužine L = 160/170 cm (70/80 cm u ziđu i ostatak u armaturni koš) i ugrađuju se na svakih 50 cm dijagonalno. Uključivo bušenje rupa promjera do Ø18 te se rupa zapunjava epoxy smolom. Sidra se ugrađuju prije ugradnje armature serklaža i betoniranja iste. U cijenu uključen sav potrebni materijal. </t>
  </si>
  <si>
    <t>28.</t>
  </si>
  <si>
    <t xml:space="preserve">Dobava materijala, priprema  i ugradnja betona za vertikalne serklaže/stupove, razred betona C30/37, granulirani agregat. Dimenzija b/h = 65/75 cm. Najveće zrno agregata do 32 mm. Oplata glatka.  Beton je potrebno kod ugradbe vibrirati, da nestanu gnijezda (segregirani dio). Segregirani dio izvođač snosi popravak na svoj trošak. Sva eventualna potrebna podupiranja i njega betona u periodu od 20 dana su u cijeni stavke. Obračun po m3. Cijenom treba obuhvatiti kompletan rad. Betoniranje se izvodi samo nakon odobrenja nadzornog inženjera. U stavku uključeno dobava, siječenje, savijanje i ugradnja armature  kvalitete čelika B500B.. Obračun po kg. Cijenom treba obuhvatiti kompletan rad. Prethodno betoniranju obavezan je pregled izvedenih armiračkih radova od strane nadzornog inženjera. </t>
  </si>
  <si>
    <t>28a.</t>
  </si>
  <si>
    <t>28b.</t>
  </si>
  <si>
    <t>28c.</t>
  </si>
  <si>
    <t>28d.</t>
  </si>
  <si>
    <t>28e.</t>
  </si>
  <si>
    <t>29.</t>
  </si>
  <si>
    <t>horizontalni serklaž/greda - razina stropa podruma - samo između osi 3 i 6</t>
  </si>
  <si>
    <t>29a.</t>
  </si>
  <si>
    <t>29b.</t>
  </si>
  <si>
    <t>29c.</t>
  </si>
  <si>
    <t>29d.</t>
  </si>
  <si>
    <t>29e.</t>
  </si>
  <si>
    <t xml:space="preserve">Dobava materijala, priprema  i ugradnja betona za horizontalne serklaže, razred betona C30/37, granulirani agregat. Dimenzija b/h = 75/75 cm. Najveće zrno agregata do 32 mm. Oplata glatka.  Beton je potrebno kod ugradbe vibrirati, da nestanu gnijezda (segregirani dio). Segregirani dio izvođač snosi popravak na svoj trošak. Sva eventualna potrebna podupiranja i njega betona u periodu od 20 dana su u cijeni stavke. Obračun po m3. Cijenom treba obuhvatiti kompletan rad. Betoniranje se izvodi samo nakon odobrenja nadzornog inženjera. U stavku uključeno dobava, siječenje, savijanje i ugradnja armature  kvalitete čelika B500B.. Obračun po kg. Cijenom treba obuhvatiti kompletan rad. Prethodno betoniranju obavezan je pregled izvedenih armiračkih radova od strane nadzornog inženjera. </t>
  </si>
  <si>
    <t>30.</t>
  </si>
  <si>
    <t xml:space="preserve">Dobava i izvedba armirano betonskog potpornog zida u osi f, između osi 3 i 6, betonom C30/37, t = 28 cm, granulirani agregat. Oplata glatka. Beton je potrebno kod ugradbe vibrirati, da nestanu gnijezda (segregirani dio). Sva eventualna potrebna podupiranja i njega betona u periodu od 20 dana su u cijeni stavke. Obračun po m3. Cijenom treba obuhvatiti kompletan rad.                                                               Razina podruma su zapravo MIS.
 </t>
  </si>
  <si>
    <t>Dobava, montaža i demontaža s učvršćivanjem oplate za bočnu jednu stranu AB temelja kod zida u osi 2. Oplata mora biti glatka i špricana protiv ljepljenja. Obračun po kompletu. Uključiti sav materijal, rad i alat za rad do potpune gotovosti. Oplata nužna uz tri slobodne stranice serklaža. Obračun prema dokaznici stvarno izvedenih radova ovjerenog od strane nadzornog inženjera.</t>
  </si>
  <si>
    <r>
      <t xml:space="preserve">- oplata visine 30 cm, duljine L </t>
    </r>
    <r>
      <rPr>
        <sz val="10"/>
        <rFont val="Calibri"/>
        <family val="2"/>
      </rPr>
      <t>≈</t>
    </r>
    <r>
      <rPr>
        <sz val="10"/>
        <rFont val="Arial"/>
        <family val="2"/>
      </rPr>
      <t xml:space="preserve"> 8,5 m</t>
    </r>
  </si>
  <si>
    <t xml:space="preserve">Torkretiranje i ojačanje zida u osi 2 </t>
  </si>
  <si>
    <t>zid u prizemlju</t>
  </si>
  <si>
    <t>OSTALI/NEPREDVIĐENI RADOVI</t>
  </si>
  <si>
    <t>TROŠKOVNIK GRAĐEVINSKI RADOVI</t>
  </si>
  <si>
    <t>TROŠKOVNIK OSTALI RADOVI</t>
  </si>
  <si>
    <t>sveukupno</t>
  </si>
  <si>
    <t>pdv</t>
  </si>
  <si>
    <t>sveukupno s PDV</t>
  </si>
  <si>
    <t>SVEUKUPNA REKAPITULACIJA TROŠKOVNIKA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</si>
</sst>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n&quot;_-;\-* #,##0.00\ &quot;kn&quot;_-;_-* &quot;-&quot;??\ &quot;kn&quot;_-;_-@_-"/>
    <numFmt numFmtId="164" formatCode="_(* #,##0.00_);_(* \(#,##0.00\);_(* &quot;-&quot;??_);_(@_)"/>
    <numFmt numFmtId="165" formatCode="#,##0.00\ &quot;kn&quot;"/>
    <numFmt numFmtId="166" formatCode="0.0"/>
    <numFmt numFmtId="167" formatCode="#.##0.00"/>
    <numFmt numFmtId="168" formatCode="#,##0.00;#,##0.00;&quot;&quot;"/>
  </numFmts>
  <fonts count="48">
    <font>
      <sz val="10"/>
      <name val="Arial"/>
      <charset val="238"/>
    </font>
    <font>
      <sz val="10"/>
      <name val="Arial"/>
      <family val="2"/>
      <charset val="238"/>
    </font>
    <font>
      <sz val="10"/>
      <name val="Helv"/>
    </font>
    <font>
      <sz val="10"/>
      <name val="Arial"/>
      <family val="2"/>
    </font>
    <font>
      <sz val="10"/>
      <color rgb="FF7030A0"/>
      <name val="Arial Narrow"/>
      <family val="2"/>
    </font>
    <font>
      <b/>
      <sz val="10"/>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vertAlign val="superscript"/>
      <sz val="10"/>
      <name val="Arial"/>
      <family val="2"/>
    </font>
    <font>
      <b/>
      <sz val="10"/>
      <name val="Symbol"/>
      <family val="1"/>
      <charset val="2"/>
    </font>
    <font>
      <b/>
      <vertAlign val="superscript"/>
      <sz val="10"/>
      <name val="Arial"/>
      <family val="2"/>
    </font>
    <font>
      <sz val="11"/>
      <color theme="1"/>
      <name val="Calibri"/>
      <family val="2"/>
      <charset val="238"/>
      <scheme val="minor"/>
    </font>
    <font>
      <vertAlign val="superscript"/>
      <sz val="10"/>
      <name val="Arial"/>
      <family val="2"/>
      <charset val="238"/>
    </font>
    <font>
      <sz val="10"/>
      <color rgb="FFFF0000"/>
      <name val="Arial"/>
      <family val="2"/>
      <charset val="238"/>
    </font>
    <font>
      <sz val="10"/>
      <color rgb="FF7030A0"/>
      <name val="Arial"/>
      <family val="2"/>
      <charset val="238"/>
    </font>
    <font>
      <sz val="10"/>
      <name val="Arial "/>
    </font>
    <font>
      <sz val="100"/>
      <color rgb="FFFF0000"/>
      <name val="Arial"/>
      <family val="2"/>
    </font>
    <font>
      <sz val="10"/>
      <color theme="1"/>
      <name val="Arial"/>
      <family val="2"/>
      <charset val="238"/>
    </font>
    <font>
      <sz val="10"/>
      <color rgb="FFFF0000"/>
      <name val="Arial "/>
    </font>
    <font>
      <b/>
      <sz val="10"/>
      <name val="Arial "/>
    </font>
    <font>
      <b/>
      <sz val="10"/>
      <name val="Arial"/>
      <family val="2"/>
      <charset val="238"/>
    </font>
    <font>
      <vertAlign val="superscript"/>
      <sz val="10"/>
      <name val="Arial Narrow"/>
      <family val="2"/>
    </font>
    <font>
      <b/>
      <sz val="10"/>
      <color theme="1"/>
      <name val="Arial"/>
      <family val="2"/>
      <charset val="238"/>
    </font>
    <font>
      <i/>
      <sz val="10"/>
      <name val="Arial"/>
      <family val="2"/>
    </font>
    <font>
      <vertAlign val="superscript"/>
      <sz val="10"/>
      <color theme="1"/>
      <name val="Arial"/>
      <family val="2"/>
    </font>
    <font>
      <sz val="30"/>
      <color rgb="FFFF0000"/>
      <name val="Arial"/>
      <family val="2"/>
    </font>
    <font>
      <sz val="10"/>
      <name val="Arial"/>
      <family val="2"/>
    </font>
    <font>
      <sz val="10"/>
      <color rgb="FF000000"/>
      <name val="Arial"/>
      <family val="2"/>
    </font>
    <font>
      <vertAlign val="superscript"/>
      <sz val="10"/>
      <color rgb="FF000000"/>
      <name val="Arial"/>
      <family val="2"/>
    </font>
    <font>
      <vertAlign val="superscript"/>
      <sz val="10"/>
      <name val="Arial "/>
    </font>
    <font>
      <b/>
      <sz val="10"/>
      <color rgb="FF000000"/>
      <name val="Arial"/>
      <family val="2"/>
    </font>
    <font>
      <sz val="10"/>
      <name val="Symbol"/>
      <family val="1"/>
      <charset val="2"/>
    </font>
    <font>
      <sz val="10"/>
      <name val="Calibri"/>
      <family val="2"/>
    </font>
    <font>
      <sz val="10"/>
      <color theme="0" tint="-0.34998626667073579"/>
      <name val="Arial"/>
      <family val="2"/>
    </font>
    <font>
      <sz val="10"/>
      <color theme="0" tint="-0.249977111117893"/>
      <name val="Arial"/>
      <family val="2"/>
    </font>
    <font>
      <sz val="30"/>
      <color theme="0" tint="-0.34998626667073579"/>
      <name val="Arial"/>
      <family val="2"/>
    </font>
    <font>
      <sz val="100"/>
      <color theme="0" tint="-0.34998626667073579"/>
      <name val="Arial"/>
      <family val="2"/>
    </font>
    <font>
      <sz val="10"/>
      <color theme="0" tint="-0.499984740745262"/>
      <name val="Arial"/>
      <family val="2"/>
    </font>
    <font>
      <b/>
      <sz val="10"/>
      <color theme="0" tint="-0.499984740745262"/>
      <name val="Arial"/>
      <family val="2"/>
    </font>
    <font>
      <sz val="30"/>
      <color theme="0" tint="-0.499984740745262"/>
      <name val="Arial"/>
      <family val="2"/>
    </font>
    <font>
      <sz val="100"/>
      <color theme="0" tint="-0.499984740745262"/>
      <name val="Arial"/>
      <family val="2"/>
    </font>
    <font>
      <sz val="10"/>
      <color theme="1" tint="0.499984740745262"/>
      <name val="Arial"/>
      <family val="2"/>
    </font>
    <font>
      <sz val="10"/>
      <color theme="1" tint="0.499984740745262"/>
      <name val="Arial"/>
      <family val="2"/>
      <charset val="238"/>
    </font>
    <font>
      <sz val="10"/>
      <color theme="1" tint="0.499984740745262"/>
      <name val="Arial Narrow"/>
      <family val="2"/>
    </font>
    <font>
      <sz val="30"/>
      <color theme="1" tint="0.499984740745262"/>
      <name val="Arial"/>
      <family val="2"/>
    </font>
    <font>
      <sz val="100"/>
      <color theme="1" tint="0.49998474074526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s>
  <cellStyleXfs count="8">
    <xf numFmtId="0" fontId="0" fillId="0" borderId="0"/>
    <xf numFmtId="0" fontId="1" fillId="0" borderId="0"/>
    <xf numFmtId="0" fontId="3" fillId="0" borderId="0"/>
    <xf numFmtId="0" fontId="1" fillId="0" borderId="0"/>
    <xf numFmtId="0" fontId="2" fillId="0" borderId="0"/>
    <xf numFmtId="0" fontId="13" fillId="0" borderId="0"/>
    <xf numFmtId="0" fontId="3" fillId="0" borderId="0"/>
    <xf numFmtId="164" fontId="28" fillId="0" borderId="0" applyFont="0" applyFill="0" applyBorder="0" applyAlignment="0" applyProtection="0"/>
  </cellStyleXfs>
  <cellXfs count="313">
    <xf numFmtId="0" fontId="0" fillId="0" borderId="0" xfId="0"/>
    <xf numFmtId="0" fontId="1" fillId="0" borderId="0" xfId="0" applyFont="1" applyAlignment="1">
      <alignment horizontal="right" vertical="top"/>
    </xf>
    <xf numFmtId="0" fontId="3" fillId="0" borderId="0" xfId="0" applyFont="1" applyAlignment="1">
      <alignment horizontal="center" vertical="top"/>
    </xf>
    <xf numFmtId="0" fontId="5" fillId="0" borderId="0" xfId="0" applyFont="1" applyAlignment="1">
      <alignment horizontal="left" vertical="top" wrapText="1"/>
    </xf>
    <xf numFmtId="0" fontId="3" fillId="0" borderId="0" xfId="0" applyFont="1"/>
    <xf numFmtId="0" fontId="3" fillId="0" borderId="0" xfId="0" applyFont="1" applyAlignment="1">
      <alignment horizontal="right"/>
    </xf>
    <xf numFmtId="2" fontId="8" fillId="0" borderId="0" xfId="0" applyNumberFormat="1" applyFont="1"/>
    <xf numFmtId="0" fontId="3" fillId="0" borderId="0" xfId="0" applyFont="1" applyAlignment="1">
      <alignment horizontal="center"/>
    </xf>
    <xf numFmtId="4" fontId="3" fillId="0" borderId="0" xfId="0" applyNumberFormat="1" applyFont="1" applyAlignment="1">
      <alignment horizontal="right"/>
    </xf>
    <xf numFmtId="0" fontId="5" fillId="0" borderId="0" xfId="0" applyFont="1"/>
    <xf numFmtId="4" fontId="3" fillId="0" borderId="2" xfId="0" applyNumberFormat="1" applyFont="1" applyBorder="1" applyAlignment="1">
      <alignment horizontal="right"/>
    </xf>
    <xf numFmtId="4" fontId="3" fillId="0" borderId="4" xfId="0" applyNumberFormat="1" applyFont="1" applyBorder="1" applyAlignment="1">
      <alignment horizontal="right"/>
    </xf>
    <xf numFmtId="4" fontId="5" fillId="0" borderId="2" xfId="0" applyNumberFormat="1" applyFont="1" applyBorder="1" applyAlignment="1">
      <alignment horizontal="right"/>
    </xf>
    <xf numFmtId="0" fontId="3" fillId="0" borderId="0" xfId="0" applyFont="1" applyAlignment="1">
      <alignment horizontal="justify" vertical="top"/>
    </xf>
    <xf numFmtId="0" fontId="5" fillId="0" borderId="0" xfId="0" applyFont="1" applyAlignment="1">
      <alignment horizontal="justify" vertical="top"/>
    </xf>
    <xf numFmtId="0" fontId="5" fillId="2" borderId="5" xfId="0" applyFont="1" applyFill="1" applyBorder="1" applyAlignment="1">
      <alignment horizontal="justify" vertical="top"/>
    </xf>
    <xf numFmtId="0" fontId="3" fillId="0" borderId="0" xfId="0" applyFont="1" applyAlignment="1">
      <alignment horizontal="justify" vertical="top" wrapText="1"/>
    </xf>
    <xf numFmtId="0" fontId="3" fillId="0" borderId="0" xfId="0" quotePrefix="1" applyFont="1" applyAlignment="1">
      <alignment horizontal="justify" vertical="top" wrapText="1"/>
    </xf>
    <xf numFmtId="0" fontId="5" fillId="0" borderId="0" xfId="0" applyFont="1" applyAlignment="1">
      <alignment horizontal="justify" vertical="top" wrapText="1"/>
    </xf>
    <xf numFmtId="0" fontId="5" fillId="0" borderId="0" xfId="0" quotePrefix="1" applyFont="1" applyAlignment="1">
      <alignment horizontal="justify" vertical="top" wrapText="1"/>
    </xf>
    <xf numFmtId="0" fontId="0" fillId="0" borderId="0" xfId="0" applyAlignment="1">
      <alignment horizontal="justify" vertical="top" wrapText="1"/>
    </xf>
    <xf numFmtId="0" fontId="5" fillId="2" borderId="5" xfId="0" applyFont="1" applyFill="1" applyBorder="1" applyAlignment="1">
      <alignment horizontal="justify" vertical="top" wrapText="1"/>
    </xf>
    <xf numFmtId="0" fontId="5" fillId="2" borderId="3" xfId="0" applyFont="1" applyFill="1" applyBorder="1" applyAlignment="1">
      <alignment horizontal="justify" vertical="top" wrapText="1"/>
    </xf>
    <xf numFmtId="0" fontId="5" fillId="0" borderId="3" xfId="0" applyFont="1" applyBorder="1" applyAlignment="1">
      <alignment horizontal="justify" vertical="top" wrapText="1"/>
    </xf>
    <xf numFmtId="0" fontId="1" fillId="0" borderId="0" xfId="0" applyFont="1" applyAlignment="1">
      <alignment horizontal="justify" vertical="top"/>
    </xf>
    <xf numFmtId="0" fontId="1" fillId="0" borderId="0" xfId="0" applyFont="1" applyAlignment="1">
      <alignment horizontal="justify" vertical="top" wrapText="1"/>
    </xf>
    <xf numFmtId="0" fontId="15" fillId="0" borderId="0" xfId="0" applyFont="1" applyAlignment="1">
      <alignment horizontal="justify" vertical="top"/>
    </xf>
    <xf numFmtId="0" fontId="5" fillId="0" borderId="6" xfId="0" applyFont="1" applyBorder="1" applyAlignment="1">
      <alignment horizontal="justify" vertical="top" wrapText="1"/>
    </xf>
    <xf numFmtId="0" fontId="5" fillId="0" borderId="3" xfId="0" applyFont="1" applyBorder="1" applyAlignment="1">
      <alignment horizontal="justify" vertical="top"/>
    </xf>
    <xf numFmtId="0" fontId="3" fillId="0" borderId="4" xfId="0" applyFont="1" applyBorder="1" applyAlignment="1">
      <alignment horizontal="justify" vertical="top" wrapText="1"/>
    </xf>
    <xf numFmtId="0" fontId="1" fillId="0" borderId="0" xfId="0" quotePrefix="1" applyFont="1" applyAlignment="1">
      <alignment horizontal="right" vertical="top"/>
    </xf>
    <xf numFmtId="0" fontId="3"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left" vertical="top"/>
    </xf>
    <xf numFmtId="1" fontId="3" fillId="0" borderId="0" xfId="0" applyNumberFormat="1" applyFont="1" applyAlignment="1">
      <alignment horizontal="center"/>
    </xf>
    <xf numFmtId="2" fontId="3" fillId="0" borderId="0" xfId="0" applyNumberFormat="1" applyFont="1" applyAlignment="1">
      <alignment horizontal="center"/>
    </xf>
    <xf numFmtId="1" fontId="3" fillId="0" borderId="1" xfId="0" applyNumberFormat="1" applyFont="1" applyBorder="1" applyAlignment="1">
      <alignment horizontal="center"/>
    </xf>
    <xf numFmtId="1" fontId="1" fillId="0" borderId="0" xfId="0" applyNumberFormat="1" applyFont="1" applyAlignment="1">
      <alignment horizontal="center"/>
    </xf>
    <xf numFmtId="1" fontId="3" fillId="0" borderId="1" xfId="0" applyNumberFormat="1" applyFont="1" applyBorder="1" applyAlignment="1">
      <alignment horizontal="center" shrinkToFit="1"/>
    </xf>
    <xf numFmtId="1" fontId="3" fillId="0" borderId="0" xfId="0" applyNumberFormat="1" applyFont="1" applyAlignment="1">
      <alignment horizontal="center" shrinkToFit="1"/>
    </xf>
    <xf numFmtId="1" fontId="3" fillId="0" borderId="4" xfId="0" applyNumberFormat="1" applyFont="1" applyBorder="1" applyAlignment="1">
      <alignment horizontal="center"/>
    </xf>
    <xf numFmtId="1" fontId="5" fillId="0" borderId="1" xfId="0" applyNumberFormat="1" applyFont="1" applyBorder="1" applyAlignment="1">
      <alignment horizontal="center" shrinkToFit="1"/>
    </xf>
    <xf numFmtId="0" fontId="3" fillId="0" borderId="1" xfId="0" applyFont="1" applyBorder="1" applyAlignment="1">
      <alignment horizontal="center"/>
    </xf>
    <xf numFmtId="0" fontId="1" fillId="0" borderId="0" xfId="0" applyFont="1" applyAlignment="1">
      <alignment horizontal="center"/>
    </xf>
    <xf numFmtId="0" fontId="5" fillId="0" borderId="1" xfId="0" applyFont="1" applyBorder="1" applyAlignment="1">
      <alignment horizontal="center"/>
    </xf>
    <xf numFmtId="2" fontId="3" fillId="0" borderId="1" xfId="0" applyNumberFormat="1" applyFont="1" applyBorder="1" applyAlignment="1">
      <alignment horizontal="center"/>
    </xf>
    <xf numFmtId="2" fontId="5" fillId="0" borderId="1" xfId="0" applyNumberFormat="1" applyFont="1" applyBorder="1" applyAlignment="1">
      <alignment horizontal="center"/>
    </xf>
    <xf numFmtId="0" fontId="8" fillId="0" borderId="0" xfId="0" applyFont="1" applyAlignment="1">
      <alignment horizontal="center" vertical="top"/>
    </xf>
    <xf numFmtId="0" fontId="21" fillId="0" borderId="0" xfId="1" applyFont="1" applyAlignment="1">
      <alignment horizontal="justify" vertical="top" wrapText="1"/>
    </xf>
    <xf numFmtId="0" fontId="5" fillId="0" borderId="0" xfId="0" applyFont="1" applyAlignment="1">
      <alignment horizontal="left" vertical="top"/>
    </xf>
    <xf numFmtId="0" fontId="3" fillId="0" borderId="0" xfId="0" applyFont="1" applyAlignment="1">
      <alignment horizontal="left" vertical="top"/>
    </xf>
    <xf numFmtId="0" fontId="1" fillId="0" borderId="0" xfId="0" quotePrefix="1" applyFont="1" applyAlignment="1">
      <alignment horizontal="left" vertical="top"/>
    </xf>
    <xf numFmtId="0" fontId="22" fillId="2" borderId="5" xfId="0" applyFont="1" applyFill="1" applyBorder="1" applyAlignment="1">
      <alignment horizontal="left" vertical="top"/>
    </xf>
    <xf numFmtId="0" fontId="0" fillId="0" borderId="0" xfId="0" applyAlignment="1">
      <alignment horizontal="left" vertical="top" wrapText="1"/>
    </xf>
    <xf numFmtId="0" fontId="1" fillId="0" borderId="0" xfId="0" applyFont="1" applyAlignment="1">
      <alignment horizontal="left" wrapText="1"/>
    </xf>
    <xf numFmtId="0" fontId="8" fillId="2" borderId="5" xfId="0" applyFont="1" applyFill="1" applyBorder="1" applyAlignment="1">
      <alignment horizontal="center" vertical="top"/>
    </xf>
    <xf numFmtId="0" fontId="5" fillId="0" borderId="6" xfId="0" applyFont="1" applyBorder="1" applyAlignment="1">
      <alignment horizontal="justify" vertical="top"/>
    </xf>
    <xf numFmtId="2" fontId="25" fillId="0" borderId="0" xfId="0" applyNumberFormat="1" applyFont="1" applyAlignment="1">
      <alignment horizontal="center"/>
    </xf>
    <xf numFmtId="2" fontId="25" fillId="0" borderId="4" xfId="0" applyNumberFormat="1" applyFont="1" applyBorder="1" applyAlignment="1">
      <alignment horizontal="center"/>
    </xf>
    <xf numFmtId="0" fontId="3" fillId="0" borderId="0" xfId="2" applyAlignment="1">
      <alignment vertical="top"/>
    </xf>
    <xf numFmtId="0" fontId="3" fillId="0" borderId="0" xfId="2" applyAlignment="1">
      <alignment horizontal="center"/>
    </xf>
    <xf numFmtId="2" fontId="3" fillId="0" borderId="0" xfId="2" applyNumberFormat="1" applyAlignment="1">
      <alignment horizontal="center"/>
    </xf>
    <xf numFmtId="4" fontId="3" fillId="0" borderId="0" xfId="2" applyNumberFormat="1" applyAlignment="1">
      <alignment horizontal="right"/>
    </xf>
    <xf numFmtId="0" fontId="3" fillId="0" borderId="0" xfId="2"/>
    <xf numFmtId="0" fontId="5" fillId="0" borderId="0" xfId="2" applyFont="1" applyAlignment="1">
      <alignment vertical="top"/>
    </xf>
    <xf numFmtId="0" fontId="5" fillId="0" borderId="0" xfId="2" applyFont="1"/>
    <xf numFmtId="0" fontId="5" fillId="0" borderId="0" xfId="2" quotePrefix="1" applyFont="1"/>
    <xf numFmtId="0" fontId="5" fillId="2" borderId="5" xfId="2" applyFont="1" applyFill="1" applyBorder="1" applyAlignment="1">
      <alignment vertical="top" wrapText="1"/>
    </xf>
    <xf numFmtId="0" fontId="3" fillId="2" borderId="5" xfId="2" applyFill="1" applyBorder="1" applyAlignment="1">
      <alignment horizontal="center"/>
    </xf>
    <xf numFmtId="2" fontId="3" fillId="2" borderId="5" xfId="2" applyNumberFormat="1" applyFill="1" applyBorder="1" applyAlignment="1">
      <alignment horizontal="center"/>
    </xf>
    <xf numFmtId="4" fontId="3" fillId="2" borderId="5" xfId="2" applyNumberFormat="1" applyFill="1" applyBorder="1" applyAlignment="1">
      <alignment horizontal="right"/>
    </xf>
    <xf numFmtId="0" fontId="5" fillId="0" borderId="0" xfId="2" applyFont="1" applyAlignment="1">
      <alignment vertical="top" wrapText="1"/>
    </xf>
    <xf numFmtId="0" fontId="3" fillId="0" borderId="0" xfId="2" applyAlignment="1">
      <alignment vertical="justify" wrapText="1"/>
    </xf>
    <xf numFmtId="0" fontId="3" fillId="0" borderId="0" xfId="2" applyAlignment="1">
      <alignment vertical="top" wrapText="1"/>
    </xf>
    <xf numFmtId="0" fontId="5" fillId="2" borderId="3" xfId="2" applyFont="1" applyFill="1" applyBorder="1" applyAlignment="1">
      <alignment vertical="top" wrapText="1"/>
    </xf>
    <xf numFmtId="0" fontId="5" fillId="2" borderId="1" xfId="2" applyFont="1" applyFill="1" applyBorder="1" applyAlignment="1">
      <alignment vertical="top" wrapText="1"/>
    </xf>
    <xf numFmtId="2" fontId="3" fillId="2" borderId="1" xfId="2" applyNumberFormat="1" applyFill="1" applyBorder="1" applyAlignment="1">
      <alignment horizontal="center"/>
    </xf>
    <xf numFmtId="4" fontId="3" fillId="2" borderId="2" xfId="2" applyNumberFormat="1" applyFill="1" applyBorder="1" applyAlignment="1">
      <alignment horizontal="right"/>
    </xf>
    <xf numFmtId="0" fontId="5" fillId="2" borderId="5" xfId="2" applyFont="1" applyFill="1" applyBorder="1" applyAlignment="1">
      <alignment vertical="top"/>
    </xf>
    <xf numFmtId="0" fontId="3" fillId="2" borderId="1" xfId="2" applyFill="1" applyBorder="1" applyAlignment="1">
      <alignment horizontal="center"/>
    </xf>
    <xf numFmtId="0" fontId="5" fillId="2" borderId="5" xfId="2" applyFont="1" applyFill="1" applyBorder="1" applyAlignment="1">
      <alignment horizontal="left" vertical="top" wrapText="1"/>
    </xf>
    <xf numFmtId="0" fontId="3" fillId="0" borderId="0" xfId="2" quotePrefix="1" applyAlignment="1">
      <alignment vertical="top"/>
    </xf>
    <xf numFmtId="165" fontId="3" fillId="0" borderId="0" xfId="2" applyNumberFormat="1" applyAlignment="1">
      <alignment horizontal="center"/>
    </xf>
    <xf numFmtId="0" fontId="4" fillId="0" borderId="0" xfId="2" applyFont="1" applyAlignment="1">
      <alignment horizontal="justify"/>
    </xf>
    <xf numFmtId="0" fontId="6" fillId="0" borderId="0" xfId="2" applyFont="1"/>
    <xf numFmtId="0" fontId="6" fillId="0" borderId="0" xfId="2" applyFont="1" applyAlignment="1">
      <alignment horizontal="center"/>
    </xf>
    <xf numFmtId="2" fontId="6" fillId="0" borderId="0" xfId="2" applyNumberFormat="1" applyFont="1" applyAlignment="1">
      <alignment horizontal="center"/>
    </xf>
    <xf numFmtId="4" fontId="6" fillId="0" borderId="0" xfId="2" applyNumberFormat="1" applyFont="1" applyAlignment="1">
      <alignment horizontal="center"/>
    </xf>
    <xf numFmtId="4" fontId="6" fillId="0" borderId="0" xfId="2" applyNumberFormat="1" applyFont="1" applyAlignment="1">
      <alignment horizontal="right"/>
    </xf>
    <xf numFmtId="0" fontId="7" fillId="2" borderId="3" xfId="2" applyFont="1" applyFill="1" applyBorder="1"/>
    <xf numFmtId="0" fontId="6" fillId="2" borderId="1" xfId="2" applyFont="1" applyFill="1" applyBorder="1" applyAlignment="1">
      <alignment horizontal="center"/>
    </xf>
    <xf numFmtId="2" fontId="6" fillId="2" borderId="1" xfId="2" applyNumberFormat="1" applyFont="1" applyFill="1" applyBorder="1" applyAlignment="1">
      <alignment horizontal="center"/>
    </xf>
    <xf numFmtId="0" fontId="7" fillId="0" borderId="0" xfId="2" applyFont="1"/>
    <xf numFmtId="0" fontId="3" fillId="0" borderId="0" xfId="2" applyAlignment="1">
      <alignment horizontal="right"/>
    </xf>
    <xf numFmtId="2" fontId="5" fillId="0" borderId="0" xfId="2" applyNumberFormat="1" applyFont="1" applyAlignment="1">
      <alignment vertical="center"/>
    </xf>
    <xf numFmtId="0" fontId="3" fillId="0" borderId="0" xfId="2" applyAlignment="1">
      <alignment wrapText="1"/>
    </xf>
    <xf numFmtId="0" fontId="8" fillId="0" borderId="0" xfId="0" applyFont="1"/>
    <xf numFmtId="0" fontId="9" fillId="0" borderId="0" xfId="0" applyFont="1" applyAlignment="1">
      <alignment horizontal="center" vertical="top"/>
    </xf>
    <xf numFmtId="0" fontId="8" fillId="0" borderId="0" xfId="0" quotePrefix="1" applyFont="1" applyAlignment="1">
      <alignment horizontal="right" vertical="top"/>
    </xf>
    <xf numFmtId="0" fontId="3" fillId="0" borderId="0" xfId="0" quotePrefix="1" applyFont="1" applyAlignment="1">
      <alignment horizontal="left" vertical="top" wrapText="1"/>
    </xf>
    <xf numFmtId="0" fontId="1" fillId="0" borderId="0" xfId="0" applyFont="1" applyAlignment="1">
      <alignment horizontal="left" vertical="top" wrapText="1"/>
    </xf>
    <xf numFmtId="0" fontId="18" fillId="0" borderId="0" xfId="0" applyFont="1"/>
    <xf numFmtId="0" fontId="3" fillId="2" borderId="5" xfId="0" applyFont="1" applyFill="1" applyBorder="1" applyAlignment="1">
      <alignment horizontal="center" vertical="top"/>
    </xf>
    <xf numFmtId="0" fontId="5" fillId="0" borderId="0" xfId="0" applyFont="1" applyAlignment="1">
      <alignment horizontal="center" vertical="top"/>
    </xf>
    <xf numFmtId="0" fontId="1" fillId="0" borderId="0" xfId="0" applyFont="1" applyAlignment="1">
      <alignment horizontal="center" vertical="top"/>
    </xf>
    <xf numFmtId="0" fontId="17" fillId="0" borderId="0" xfId="1" applyFont="1" applyAlignment="1">
      <alignment horizontal="center" vertical="top"/>
    </xf>
    <xf numFmtId="0" fontId="9" fillId="2" borderId="5" xfId="0" applyFont="1" applyFill="1" applyBorder="1" applyAlignment="1">
      <alignment horizontal="center" vertical="top"/>
    </xf>
    <xf numFmtId="0" fontId="20" fillId="0" borderId="0" xfId="1" applyFont="1" applyAlignment="1">
      <alignment horizontal="center" vertical="top"/>
    </xf>
    <xf numFmtId="49" fontId="20" fillId="0" borderId="0" xfId="1" applyNumberFormat="1" applyFont="1" applyAlignment="1">
      <alignment horizontal="center" vertical="top"/>
    </xf>
    <xf numFmtId="0" fontId="20" fillId="2" borderId="5" xfId="1" applyFont="1" applyFill="1" applyBorder="1" applyAlignment="1">
      <alignment horizontal="center" vertical="top"/>
    </xf>
    <xf numFmtId="0" fontId="15" fillId="0" borderId="0" xfId="0" applyFont="1" applyAlignment="1">
      <alignment horizontal="center" vertical="top"/>
    </xf>
    <xf numFmtId="0" fontId="8" fillId="0" borderId="0" xfId="2" applyFont="1" applyAlignment="1">
      <alignment horizontal="center" vertical="top"/>
    </xf>
    <xf numFmtId="0" fontId="9" fillId="2" borderId="5" xfId="2" applyFont="1" applyFill="1" applyBorder="1" applyAlignment="1">
      <alignment horizontal="center" vertical="top"/>
    </xf>
    <xf numFmtId="0" fontId="9" fillId="0" borderId="0" xfId="2" applyFont="1" applyAlignment="1">
      <alignment horizontal="center" vertical="top"/>
    </xf>
    <xf numFmtId="0" fontId="8" fillId="2" borderId="5" xfId="2" applyFont="1" applyFill="1" applyBorder="1" applyAlignment="1">
      <alignment horizontal="center" vertical="top"/>
    </xf>
    <xf numFmtId="0" fontId="8" fillId="0" borderId="0" xfId="2" applyFont="1" applyAlignment="1">
      <alignment horizontal="center"/>
    </xf>
    <xf numFmtId="0" fontId="9" fillId="0" borderId="0" xfId="2" applyFont="1" applyAlignment="1">
      <alignment horizontal="center" vertical="center"/>
    </xf>
    <xf numFmtId="0" fontId="27" fillId="0" borderId="0" xfId="0" applyFont="1"/>
    <xf numFmtId="0" fontId="8" fillId="0" borderId="0" xfId="0" quotePrefix="1" applyFont="1" applyAlignment="1">
      <alignment horizontal="justify" vertical="top" wrapText="1"/>
    </xf>
    <xf numFmtId="166" fontId="8" fillId="0" borderId="0" xfId="0" applyNumberFormat="1" applyFont="1" applyAlignment="1">
      <alignment horizontal="center" vertical="top"/>
    </xf>
    <xf numFmtId="4" fontId="8" fillId="0" borderId="0" xfId="0" applyNumberFormat="1" applyFont="1" applyAlignment="1">
      <alignment horizontal="right" vertical="top"/>
    </xf>
    <xf numFmtId="1" fontId="6" fillId="0" borderId="0" xfId="0" applyNumberFormat="1" applyFont="1" applyAlignment="1">
      <alignment horizontal="center" vertical="top"/>
    </xf>
    <xf numFmtId="4" fontId="3" fillId="0" borderId="0" xfId="0" applyNumberFormat="1" applyFont="1" applyAlignment="1">
      <alignment horizontal="center" vertical="top"/>
    </xf>
    <xf numFmtId="4" fontId="3" fillId="0" borderId="0" xfId="0" applyNumberFormat="1" applyFont="1" applyAlignment="1">
      <alignment horizontal="right" vertical="top"/>
    </xf>
    <xf numFmtId="0" fontId="8"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2" fontId="6" fillId="0" borderId="0" xfId="0" applyNumberFormat="1" applyFont="1" applyAlignment="1">
      <alignment horizontal="center" vertical="top"/>
    </xf>
    <xf numFmtId="4" fontId="6" fillId="0" borderId="0" xfId="0" applyNumberFormat="1" applyFont="1" applyAlignment="1">
      <alignment horizontal="right" vertical="top"/>
    </xf>
    <xf numFmtId="0" fontId="6" fillId="0" borderId="0" xfId="0" quotePrefix="1" applyFont="1" applyAlignment="1">
      <alignment horizontal="justify" vertical="top" wrapText="1"/>
    </xf>
    <xf numFmtId="4" fontId="6" fillId="0" borderId="0" xfId="0" applyNumberFormat="1" applyFont="1" applyAlignment="1">
      <alignment vertical="top"/>
    </xf>
    <xf numFmtId="0" fontId="5" fillId="0" borderId="0" xfId="0" applyFont="1" applyAlignment="1">
      <alignment horizontal="left" wrapText="1"/>
    </xf>
    <xf numFmtId="1" fontId="3" fillId="0" borderId="0" xfId="0" applyNumberFormat="1" applyFont="1" applyAlignment="1">
      <alignment horizontal="center" vertical="top"/>
    </xf>
    <xf numFmtId="2" fontId="3" fillId="0" borderId="0" xfId="0" applyNumberFormat="1" applyFont="1" applyAlignment="1">
      <alignment horizontal="center" vertical="top"/>
    </xf>
    <xf numFmtId="0" fontId="9" fillId="0" borderId="0" xfId="0" applyFont="1" applyAlignment="1">
      <alignment vertical="top"/>
    </xf>
    <xf numFmtId="1" fontId="3" fillId="2" borderId="5" xfId="0" applyNumberFormat="1" applyFont="1" applyFill="1" applyBorder="1" applyAlignment="1">
      <alignment horizontal="center" vertical="top"/>
    </xf>
    <xf numFmtId="2" fontId="3" fillId="2" borderId="5" xfId="0" applyNumberFormat="1" applyFont="1" applyFill="1" applyBorder="1" applyAlignment="1">
      <alignment horizontal="center" vertical="top"/>
    </xf>
    <xf numFmtId="4" fontId="3" fillId="2" borderId="5" xfId="0" applyNumberFormat="1" applyFont="1" applyFill="1" applyBorder="1" applyAlignment="1">
      <alignment horizontal="right" vertical="top"/>
    </xf>
    <xf numFmtId="166" fontId="3" fillId="0" borderId="0" xfId="0" applyNumberFormat="1" applyFont="1" applyAlignment="1">
      <alignment horizontal="center" vertical="top"/>
    </xf>
    <xf numFmtId="0" fontId="3" fillId="0" borderId="0" xfId="0" applyFont="1" applyAlignment="1">
      <alignment horizontal="right" vertical="top"/>
    </xf>
    <xf numFmtId="2" fontId="5" fillId="0" borderId="0" xfId="0" applyNumberFormat="1" applyFont="1" applyAlignment="1">
      <alignment horizontal="center" vertical="top"/>
    </xf>
    <xf numFmtId="1" fontId="5" fillId="0" borderId="0" xfId="0" applyNumberFormat="1" applyFont="1" applyAlignment="1">
      <alignment horizontal="center" vertical="top"/>
    </xf>
    <xf numFmtId="1" fontId="1" fillId="0" borderId="0" xfId="0" applyNumberFormat="1" applyFont="1" applyAlignment="1">
      <alignment horizontal="center" vertical="top"/>
    </xf>
    <xf numFmtId="2" fontId="0" fillId="0" borderId="0" xfId="0" applyNumberFormat="1" applyAlignment="1">
      <alignment horizontal="center" vertical="top"/>
    </xf>
    <xf numFmtId="4" fontId="0" fillId="0" borderId="0" xfId="0" applyNumberFormat="1" applyAlignment="1">
      <alignment horizontal="right" vertical="top"/>
    </xf>
    <xf numFmtId="1" fontId="0" fillId="0" borderId="0" xfId="0" applyNumberFormat="1" applyAlignment="1">
      <alignment horizontal="center" vertical="top"/>
    </xf>
    <xf numFmtId="1" fontId="3" fillId="2" borderId="1" xfId="0" applyNumberFormat="1" applyFont="1" applyFill="1" applyBorder="1" applyAlignment="1">
      <alignment horizontal="center" vertical="top"/>
    </xf>
    <xf numFmtId="2" fontId="3" fillId="2" borderId="1" xfId="0" applyNumberFormat="1" applyFont="1" applyFill="1" applyBorder="1" applyAlignment="1">
      <alignment horizontal="center" vertical="top"/>
    </xf>
    <xf numFmtId="4" fontId="3" fillId="2" borderId="2" xfId="0" applyNumberFormat="1" applyFont="1" applyFill="1" applyBorder="1" applyAlignment="1">
      <alignment horizontal="right" vertical="top"/>
    </xf>
    <xf numFmtId="1" fontId="6" fillId="0" borderId="0" xfId="5" applyNumberFormat="1" applyFont="1" applyAlignment="1">
      <alignment horizontal="center" vertical="top" wrapText="1"/>
    </xf>
    <xf numFmtId="4" fontId="6" fillId="0" borderId="0" xfId="5" applyNumberFormat="1" applyFont="1" applyAlignment="1">
      <alignment horizontal="center" vertical="top" wrapText="1"/>
    </xf>
    <xf numFmtId="0" fontId="3" fillId="0" borderId="0" xfId="0" quotePrefix="1" applyFont="1" applyAlignment="1">
      <alignment vertical="top" wrapText="1"/>
    </xf>
    <xf numFmtId="0" fontId="3" fillId="2" borderId="1" xfId="0" applyFont="1" applyFill="1" applyBorder="1" applyAlignment="1">
      <alignment horizontal="center" vertical="top"/>
    </xf>
    <xf numFmtId="4" fontId="3" fillId="2" borderId="2" xfId="0" applyNumberFormat="1" applyFont="1" applyFill="1" applyBorder="1" applyAlignment="1">
      <alignment horizontal="right" vertical="top" shrinkToFit="1"/>
    </xf>
    <xf numFmtId="4" fontId="3" fillId="0" borderId="0" xfId="0" applyNumberFormat="1" applyFont="1" applyAlignment="1">
      <alignment horizontal="right" vertical="top" shrinkToFit="1"/>
    </xf>
    <xf numFmtId="2" fontId="17" fillId="0" borderId="0" xfId="1" applyNumberFormat="1" applyFont="1" applyAlignment="1">
      <alignment horizontal="center" vertical="top"/>
    </xf>
    <xf numFmtId="0" fontId="7" fillId="0" borderId="0" xfId="0" applyFont="1" applyAlignment="1">
      <alignment horizontal="justify" vertical="top"/>
    </xf>
    <xf numFmtId="0" fontId="6" fillId="0" borderId="0" xfId="0" applyFont="1" applyAlignment="1">
      <alignment horizontal="justify" vertical="top"/>
    </xf>
    <xf numFmtId="0" fontId="6" fillId="0" borderId="0" xfId="0" applyFont="1" applyAlignment="1">
      <alignment horizontal="justify" vertical="top" wrapText="1"/>
    </xf>
    <xf numFmtId="2" fontId="8" fillId="0" borderId="0" xfId="0" applyNumberFormat="1" applyFont="1" applyAlignment="1">
      <alignment horizontal="center" vertical="top"/>
    </xf>
    <xf numFmtId="0" fontId="1" fillId="0" borderId="0" xfId="0" quotePrefix="1" applyFont="1" applyAlignment="1">
      <alignment horizontal="justify" vertical="top" wrapText="1"/>
    </xf>
    <xf numFmtId="166" fontId="1" fillId="0" borderId="0" xfId="0" applyNumberFormat="1" applyFont="1" applyAlignment="1">
      <alignment horizontal="center" vertical="top"/>
    </xf>
    <xf numFmtId="1" fontId="8" fillId="0" borderId="0" xfId="0" applyNumberFormat="1" applyFont="1" applyAlignment="1">
      <alignment horizontal="center" vertical="top"/>
    </xf>
    <xf numFmtId="4" fontId="3" fillId="0" borderId="0" xfId="0" applyNumberFormat="1" applyFont="1" applyAlignment="1">
      <alignment vertical="top"/>
    </xf>
    <xf numFmtId="0" fontId="3" fillId="0" borderId="0" xfId="1" applyFont="1" applyAlignment="1">
      <alignment horizontal="left" vertical="top"/>
    </xf>
    <xf numFmtId="2" fontId="3" fillId="0" borderId="0" xfId="1" applyNumberFormat="1" applyFont="1" applyAlignment="1">
      <alignment horizontal="center" vertical="top"/>
    </xf>
    <xf numFmtId="0" fontId="3" fillId="0" borderId="0" xfId="1" quotePrefix="1" applyFont="1" applyAlignment="1">
      <alignment horizontal="left" vertical="top" wrapText="1"/>
    </xf>
    <xf numFmtId="0" fontId="3" fillId="0" borderId="0" xfId="1" applyFont="1" applyAlignment="1">
      <alignment horizontal="center" vertical="top"/>
    </xf>
    <xf numFmtId="0" fontId="15" fillId="0" borderId="0" xfId="0" quotePrefix="1" applyFont="1" applyAlignment="1">
      <alignment horizontal="center" vertical="top" wrapText="1"/>
    </xf>
    <xf numFmtId="0" fontId="1" fillId="0" borderId="0" xfId="0" quotePrefix="1" applyFont="1" applyAlignment="1">
      <alignment horizontal="center" vertical="top" wrapText="1"/>
    </xf>
    <xf numFmtId="2" fontId="1" fillId="0" borderId="0" xfId="0" applyNumberFormat="1" applyFont="1" applyAlignment="1">
      <alignment horizontal="center" vertical="top"/>
    </xf>
    <xf numFmtId="2" fontId="15" fillId="0" borderId="0" xfId="0" applyNumberFormat="1" applyFont="1" applyAlignment="1">
      <alignment horizontal="center" vertical="top"/>
    </xf>
    <xf numFmtId="4" fontId="1" fillId="0" borderId="0" xfId="0" applyNumberFormat="1" applyFont="1" applyAlignment="1">
      <alignment horizontal="right" vertical="top"/>
    </xf>
    <xf numFmtId="0" fontId="1" fillId="0" borderId="0" xfId="1" applyAlignment="1">
      <alignment horizontal="center" vertical="top"/>
    </xf>
    <xf numFmtId="2" fontId="1" fillId="0" borderId="0" xfId="1" applyNumberFormat="1" applyAlignment="1">
      <alignment horizontal="center" vertical="top"/>
    </xf>
    <xf numFmtId="4" fontId="3" fillId="0" borderId="0" xfId="1" applyNumberFormat="1" applyFont="1" applyAlignment="1">
      <alignment horizontal="right" vertical="top"/>
    </xf>
    <xf numFmtId="0" fontId="16" fillId="0" borderId="0" xfId="0" applyFont="1" applyAlignment="1">
      <alignment horizontal="center" vertical="top"/>
    </xf>
    <xf numFmtId="4" fontId="16" fillId="0" borderId="0" xfId="0" applyNumberFormat="1" applyFont="1" applyAlignment="1">
      <alignment horizontal="center" vertical="top"/>
    </xf>
    <xf numFmtId="2" fontId="16" fillId="0" borderId="0" xfId="0" applyNumberFormat="1" applyFont="1" applyAlignment="1">
      <alignment horizontal="center" vertical="top"/>
    </xf>
    <xf numFmtId="4" fontId="1" fillId="0" borderId="0" xfId="0" applyNumberFormat="1" applyFont="1" applyAlignment="1">
      <alignment horizontal="center" vertical="top"/>
    </xf>
    <xf numFmtId="0" fontId="17" fillId="0" borderId="0" xfId="0" applyFont="1" applyAlignment="1">
      <alignment horizontal="left" vertical="top" wrapText="1"/>
    </xf>
    <xf numFmtId="0" fontId="17" fillId="0" borderId="0" xfId="0" applyFont="1" applyAlignment="1">
      <alignment horizontal="right" vertical="top" wrapText="1"/>
    </xf>
    <xf numFmtId="4" fontId="15" fillId="0" borderId="0" xfId="0" applyNumberFormat="1" applyFont="1" applyAlignment="1">
      <alignment horizontal="center" vertical="top"/>
    </xf>
    <xf numFmtId="165" fontId="1" fillId="0" borderId="0" xfId="0" applyNumberFormat="1" applyFont="1" applyAlignment="1">
      <alignment horizontal="right" vertical="top"/>
    </xf>
    <xf numFmtId="4" fontId="1" fillId="0" borderId="0" xfId="0" applyNumberFormat="1" applyFont="1" applyAlignment="1">
      <alignment vertical="top"/>
    </xf>
    <xf numFmtId="0" fontId="8" fillId="0" borderId="0" xfId="0" applyFont="1" applyAlignment="1">
      <alignment horizontal="right" vertical="top"/>
    </xf>
    <xf numFmtId="4" fontId="8" fillId="0" borderId="0" xfId="0" applyNumberFormat="1" applyFont="1" applyAlignment="1">
      <alignment vertical="top"/>
    </xf>
    <xf numFmtId="2" fontId="1" fillId="0" borderId="0" xfId="0" quotePrefix="1" applyNumberFormat="1" applyFont="1" applyAlignment="1">
      <alignment horizontal="center" vertical="top" wrapText="1"/>
    </xf>
    <xf numFmtId="0" fontId="8" fillId="0" borderId="0" xfId="0" quotePrefix="1" applyFont="1" applyAlignment="1">
      <alignment horizontal="center" vertical="top" wrapText="1"/>
    </xf>
    <xf numFmtId="0" fontId="3" fillId="0" borderId="0" xfId="0" quotePrefix="1" applyFont="1" applyAlignment="1">
      <alignment horizontal="center" vertical="top" wrapText="1"/>
    </xf>
    <xf numFmtId="0" fontId="8" fillId="0" borderId="0" xfId="1" applyFont="1" applyAlignment="1">
      <alignment horizontal="center" vertical="top"/>
    </xf>
    <xf numFmtId="2" fontId="8" fillId="0" borderId="0" xfId="1" applyNumberFormat="1" applyFont="1" applyAlignment="1">
      <alignment horizontal="center" vertical="top"/>
    </xf>
    <xf numFmtId="4" fontId="8" fillId="0" borderId="0" xfId="1" applyNumberFormat="1" applyFont="1" applyAlignment="1">
      <alignment horizontal="right" vertical="top"/>
    </xf>
    <xf numFmtId="0" fontId="8" fillId="0" borderId="0" xfId="0" applyFont="1" applyAlignment="1">
      <alignment horizontal="left" vertical="top" wrapText="1"/>
    </xf>
    <xf numFmtId="0" fontId="8" fillId="0" borderId="0" xfId="0" applyFont="1" applyAlignment="1">
      <alignment horizontal="justify" vertical="top"/>
    </xf>
    <xf numFmtId="166" fontId="6" fillId="0" borderId="0" xfId="0" applyNumberFormat="1" applyFont="1" applyAlignment="1">
      <alignment horizontal="center" vertical="top"/>
    </xf>
    <xf numFmtId="4" fontId="6" fillId="0" borderId="0" xfId="0" applyNumberFormat="1" applyFont="1" applyAlignment="1">
      <alignment horizontal="center" vertical="top"/>
    </xf>
    <xf numFmtId="0" fontId="7" fillId="2" borderId="3" xfId="0" applyFont="1" applyFill="1" applyBorder="1" applyAlignment="1">
      <alignment horizontal="justify" vertical="top"/>
    </xf>
    <xf numFmtId="0" fontId="6" fillId="2" borderId="1" xfId="0" applyFont="1" applyFill="1" applyBorder="1" applyAlignment="1">
      <alignment horizontal="center" vertical="top"/>
    </xf>
    <xf numFmtId="1" fontId="6" fillId="2" borderId="1" xfId="0" applyNumberFormat="1" applyFont="1" applyFill="1" applyBorder="1" applyAlignment="1">
      <alignment horizontal="center" vertical="top"/>
    </xf>
    <xf numFmtId="0" fontId="3" fillId="0" borderId="0" xfId="0" applyFont="1" applyAlignment="1">
      <alignment vertical="top" wrapText="1"/>
    </xf>
    <xf numFmtId="4" fontId="0" fillId="0" borderId="0" xfId="0" applyNumberFormat="1" applyAlignment="1">
      <alignment vertical="top"/>
    </xf>
    <xf numFmtId="0" fontId="5" fillId="2" borderId="3" xfId="0" applyFont="1" applyFill="1" applyBorder="1" applyAlignment="1">
      <alignment horizontal="justify" vertical="top"/>
    </xf>
    <xf numFmtId="2" fontId="0" fillId="2" borderId="5" xfId="0" applyNumberFormat="1" applyFill="1" applyBorder="1" applyAlignment="1">
      <alignment horizontal="center" vertical="top"/>
    </xf>
    <xf numFmtId="1" fontId="0" fillId="2" borderId="5" xfId="0" applyNumberFormat="1" applyFill="1" applyBorder="1" applyAlignment="1">
      <alignment horizontal="center" vertical="top"/>
    </xf>
    <xf numFmtId="4" fontId="0" fillId="2" borderId="5" xfId="0" applyNumberFormat="1" applyFill="1" applyBorder="1" applyAlignment="1">
      <alignment horizontal="right" vertical="top"/>
    </xf>
    <xf numFmtId="2" fontId="19" fillId="0" borderId="0" xfId="0" applyNumberFormat="1" applyFont="1" applyAlignment="1">
      <alignment horizontal="center" vertical="top"/>
    </xf>
    <xf numFmtId="1" fontId="19" fillId="0" borderId="0" xfId="0" applyNumberFormat="1" applyFont="1" applyAlignment="1">
      <alignment horizontal="center" vertical="top"/>
    </xf>
    <xf numFmtId="4" fontId="19" fillId="0" borderId="0" xfId="0" applyNumberFormat="1" applyFont="1" applyAlignment="1">
      <alignment horizontal="right" vertical="top"/>
    </xf>
    <xf numFmtId="0" fontId="0" fillId="0" borderId="0" xfId="0" applyAlignment="1">
      <alignment horizontal="right" vertical="top"/>
    </xf>
    <xf numFmtId="0" fontId="24" fillId="2" borderId="3" xfId="0" applyFont="1" applyFill="1" applyBorder="1" applyAlignment="1">
      <alignment horizontal="left" vertical="top"/>
    </xf>
    <xf numFmtId="2" fontId="19" fillId="2" borderId="1" xfId="0" applyNumberFormat="1" applyFont="1" applyFill="1" applyBorder="1" applyAlignment="1">
      <alignment horizontal="center" vertical="top"/>
    </xf>
    <xf numFmtId="1" fontId="0" fillId="2" borderId="1" xfId="0" applyNumberFormat="1" applyFill="1" applyBorder="1" applyAlignment="1">
      <alignment horizontal="center" vertical="top"/>
    </xf>
    <xf numFmtId="4" fontId="0" fillId="2" borderId="2" xfId="0" applyNumberFormat="1" applyFill="1" applyBorder="1" applyAlignment="1">
      <alignment horizontal="right" vertical="top"/>
    </xf>
    <xf numFmtId="1" fontId="15" fillId="0" borderId="0" xfId="0" applyNumberFormat="1" applyFont="1" applyAlignment="1">
      <alignment horizontal="center" vertical="top"/>
    </xf>
    <xf numFmtId="4" fontId="15" fillId="0" borderId="0" xfId="0" applyNumberFormat="1" applyFont="1" applyAlignment="1">
      <alignment horizontal="right" vertical="top"/>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2" fontId="3" fillId="0" borderId="1" xfId="0" applyNumberFormat="1" applyFont="1" applyBorder="1" applyAlignment="1">
      <alignment horizontal="center" vertical="top"/>
    </xf>
    <xf numFmtId="4" fontId="3" fillId="0" borderId="2" xfId="0" applyNumberFormat="1" applyFont="1" applyBorder="1" applyAlignment="1">
      <alignment horizontal="right" vertical="top"/>
    </xf>
    <xf numFmtId="2" fontId="25" fillId="0" borderId="0" xfId="0" applyNumberFormat="1" applyFont="1" applyAlignment="1">
      <alignment horizontal="center" vertical="top"/>
    </xf>
    <xf numFmtId="1" fontId="3" fillId="0" borderId="1" xfId="0" applyNumberFormat="1" applyFont="1" applyBorder="1" applyAlignment="1">
      <alignment horizontal="center" vertical="top" shrinkToFit="1"/>
    </xf>
    <xf numFmtId="1" fontId="3" fillId="0" borderId="0" xfId="0" applyNumberFormat="1" applyFont="1" applyAlignment="1">
      <alignment horizontal="center" vertical="top" shrinkToFit="1"/>
    </xf>
    <xf numFmtId="0" fontId="3" fillId="0" borderId="6" xfId="0" applyFont="1" applyBorder="1" applyAlignment="1">
      <alignment horizontal="center" vertical="top"/>
    </xf>
    <xf numFmtId="1" fontId="3" fillId="0" borderId="6" xfId="0" applyNumberFormat="1" applyFont="1" applyBorder="1" applyAlignment="1">
      <alignment horizontal="center" vertical="top" shrinkToFit="1"/>
    </xf>
    <xf numFmtId="0" fontId="3" fillId="0" borderId="7" xfId="0" applyFont="1" applyBorder="1" applyAlignment="1">
      <alignment horizontal="center" vertical="top"/>
    </xf>
    <xf numFmtId="1" fontId="3" fillId="0" borderId="4" xfId="0" applyNumberFormat="1" applyFont="1" applyBorder="1" applyAlignment="1">
      <alignment horizontal="center" vertical="top"/>
    </xf>
    <xf numFmtId="2" fontId="25" fillId="0" borderId="4" xfId="0" applyNumberFormat="1" applyFont="1" applyBorder="1" applyAlignment="1">
      <alignment horizontal="center" vertical="top"/>
    </xf>
    <xf numFmtId="4" fontId="3" fillId="0" borderId="4" xfId="0" applyNumberFormat="1" applyFont="1" applyBorder="1" applyAlignment="1">
      <alignment horizontal="right" vertical="top"/>
    </xf>
    <xf numFmtId="4" fontId="5" fillId="0" borderId="2" xfId="0" applyNumberFormat="1" applyFont="1" applyBorder="1" applyAlignment="1">
      <alignment horizontal="right" vertical="top"/>
    </xf>
    <xf numFmtId="0" fontId="5" fillId="0" borderId="1" xfId="0" applyFont="1" applyBorder="1" applyAlignment="1">
      <alignment horizontal="center" vertical="top"/>
    </xf>
    <xf numFmtId="1" fontId="5" fillId="0" borderId="1" xfId="0" applyNumberFormat="1" applyFont="1" applyBorder="1" applyAlignment="1">
      <alignment horizontal="center" vertical="top" shrinkToFit="1"/>
    </xf>
    <xf numFmtId="2" fontId="5" fillId="0" borderId="1" xfId="0" applyNumberFormat="1" applyFont="1" applyBorder="1" applyAlignment="1">
      <alignment horizontal="center" vertical="top"/>
    </xf>
    <xf numFmtId="1" fontId="5" fillId="0" borderId="0" xfId="0" applyNumberFormat="1" applyFont="1" applyAlignment="1">
      <alignment horizontal="center" vertical="top" shrinkToFit="1"/>
    </xf>
    <xf numFmtId="165" fontId="1" fillId="0" borderId="0" xfId="0" applyNumberFormat="1" applyFont="1" applyAlignment="1">
      <alignment horizontal="center"/>
    </xf>
    <xf numFmtId="0" fontId="3" fillId="0" borderId="8" xfId="2" applyBorder="1"/>
    <xf numFmtId="0" fontId="3" fillId="0" borderId="4" xfId="0" applyFont="1" applyBorder="1" applyAlignment="1">
      <alignment horizontal="center"/>
    </xf>
    <xf numFmtId="0" fontId="9" fillId="0" borderId="0" xfId="0" applyFont="1" applyAlignment="1">
      <alignment horizontal="justify" vertical="top" wrapText="1"/>
    </xf>
    <xf numFmtId="0" fontId="29" fillId="0" borderId="0" xfId="0" applyFont="1" applyAlignment="1">
      <alignment horizontal="left" vertical="top" wrapText="1"/>
    </xf>
    <xf numFmtId="0" fontId="29" fillId="0" borderId="0" xfId="0" applyFont="1" applyAlignment="1">
      <alignment horizontal="justify" vertical="top" wrapText="1"/>
    </xf>
    <xf numFmtId="0" fontId="29" fillId="0" borderId="0" xfId="0" applyFont="1" applyAlignment="1">
      <alignment horizontal="center" wrapText="1"/>
    </xf>
    <xf numFmtId="164" fontId="29" fillId="0" borderId="0" xfId="7" applyFont="1" applyAlignment="1">
      <alignment horizontal="right" wrapText="1"/>
    </xf>
    <xf numFmtId="49" fontId="8" fillId="0" borderId="0" xfId="0" applyNumberFormat="1" applyFont="1" applyAlignment="1">
      <alignment horizontal="center" vertical="top" wrapText="1"/>
    </xf>
    <xf numFmtId="164" fontId="29" fillId="0" borderId="0" xfId="7" applyFont="1" applyAlignment="1">
      <alignment wrapText="1"/>
    </xf>
    <xf numFmtId="164" fontId="29" fillId="0" borderId="0" xfId="7" applyFont="1" applyAlignment="1">
      <alignment horizontal="center" wrapText="1"/>
    </xf>
    <xf numFmtId="168" fontId="3" fillId="0" borderId="0" xfId="7" applyNumberFormat="1" applyFont="1" applyAlignment="1">
      <alignment wrapText="1"/>
    </xf>
    <xf numFmtId="0" fontId="17" fillId="0" borderId="0" xfId="1" quotePrefix="1" applyFont="1" applyAlignment="1">
      <alignment horizontal="justify" vertical="top" wrapText="1"/>
    </xf>
    <xf numFmtId="44" fontId="17" fillId="0" borderId="0" xfId="1" applyNumberFormat="1" applyFont="1" applyAlignment="1">
      <alignment horizontal="right" vertical="top"/>
    </xf>
    <xf numFmtId="0" fontId="17" fillId="0" borderId="0" xfId="1" applyFont="1" applyAlignment="1">
      <alignment vertical="top" wrapText="1"/>
    </xf>
    <xf numFmtId="0" fontId="17" fillId="0" borderId="0" xfId="1" applyFont="1" applyAlignment="1">
      <alignment horizontal="center" vertical="top" wrapText="1"/>
    </xf>
    <xf numFmtId="2" fontId="17" fillId="0" borderId="0" xfId="1" applyNumberFormat="1" applyFont="1" applyAlignment="1">
      <alignment horizontal="center" vertical="top" wrapText="1"/>
    </xf>
    <xf numFmtId="0" fontId="17" fillId="0" borderId="0" xfId="1" applyFont="1" applyAlignment="1">
      <alignment horizontal="right" vertical="top" wrapText="1"/>
    </xf>
    <xf numFmtId="0" fontId="3" fillId="0" borderId="0" xfId="0" applyFont="1" applyAlignment="1">
      <alignment vertical="top"/>
    </xf>
    <xf numFmtId="0" fontId="21" fillId="2" borderId="3" xfId="1" applyFont="1" applyFill="1" applyBorder="1" applyAlignment="1">
      <alignment horizontal="justify" vertical="top" wrapText="1"/>
    </xf>
    <xf numFmtId="0" fontId="17" fillId="2" borderId="1" xfId="1" applyFont="1" applyFill="1" applyBorder="1" applyAlignment="1">
      <alignment horizontal="center" vertical="top"/>
    </xf>
    <xf numFmtId="2" fontId="17" fillId="2" borderId="1" xfId="1" applyNumberFormat="1" applyFont="1" applyFill="1" applyBorder="1" applyAlignment="1">
      <alignment horizontal="center" vertical="top"/>
    </xf>
    <xf numFmtId="2" fontId="0" fillId="0" borderId="0" xfId="0" applyNumberFormat="1" applyAlignment="1">
      <alignment horizontal="center"/>
    </xf>
    <xf numFmtId="4" fontId="3" fillId="0" borderId="0" xfId="0" applyNumberFormat="1" applyFont="1" applyAlignment="1">
      <alignment horizontal="center"/>
    </xf>
    <xf numFmtId="0" fontId="29" fillId="0" borderId="0" xfId="0" applyFont="1" applyAlignment="1" applyProtection="1">
      <alignment horizontal="justify" vertical="top" wrapText="1" shrinkToFit="1"/>
      <protection locked="0"/>
    </xf>
    <xf numFmtId="49" fontId="29" fillId="0" borderId="0" xfId="0" applyNumberFormat="1" applyFont="1" applyAlignment="1">
      <alignment horizontal="center" vertical="top"/>
    </xf>
    <xf numFmtId="0" fontId="32" fillId="0" borderId="0" xfId="0" applyFont="1" applyAlignment="1" applyProtection="1">
      <alignment horizontal="justify" vertical="top" wrapText="1" shrinkToFit="1"/>
      <protection locked="0"/>
    </xf>
    <xf numFmtId="0" fontId="29" fillId="0" borderId="0" xfId="0" quotePrefix="1" applyFont="1" applyAlignment="1" applyProtection="1">
      <alignment horizontal="justify" vertical="top" wrapText="1" shrinkToFit="1"/>
      <protection locked="0"/>
    </xf>
    <xf numFmtId="0" fontId="32" fillId="0" borderId="0" xfId="0" applyFont="1" applyAlignment="1">
      <alignment horizontal="center" wrapText="1"/>
    </xf>
    <xf numFmtId="0" fontId="29" fillId="0" borderId="0" xfId="0" applyFont="1" applyAlignment="1" applyProtection="1">
      <alignment horizontal="right" vertical="top" wrapText="1" shrinkToFit="1"/>
      <protection locked="0"/>
    </xf>
    <xf numFmtId="49" fontId="8" fillId="0" borderId="0" xfId="0" applyNumberFormat="1" applyFont="1" applyAlignment="1">
      <alignment horizontal="center" vertical="top"/>
    </xf>
    <xf numFmtId="164" fontId="32" fillId="0" borderId="0" xfId="7" applyFont="1" applyAlignment="1">
      <alignment horizontal="center" wrapText="1"/>
    </xf>
    <xf numFmtId="0" fontId="3" fillId="0" borderId="0" xfId="0" applyFont="1" applyAlignment="1" applyProtection="1">
      <alignment horizontal="center"/>
      <protection hidden="1"/>
    </xf>
    <xf numFmtId="49" fontId="8" fillId="0" borderId="0" xfId="0" applyNumberFormat="1" applyFont="1" applyAlignment="1" applyProtection="1">
      <alignment horizontal="center" vertical="top" wrapText="1"/>
      <protection hidden="1"/>
    </xf>
    <xf numFmtId="164" fontId="3" fillId="0" borderId="0" xfId="7" applyFont="1" applyAlignment="1" applyProtection="1">
      <alignment horizontal="center" wrapText="1"/>
      <protection hidden="1"/>
    </xf>
    <xf numFmtId="4" fontId="1" fillId="0" borderId="0" xfId="0" applyNumberFormat="1" applyFont="1" applyAlignment="1">
      <alignment horizontal="center"/>
    </xf>
    <xf numFmtId="2" fontId="1" fillId="0" borderId="0" xfId="0" applyNumberFormat="1" applyFont="1" applyAlignment="1">
      <alignment horizontal="center"/>
    </xf>
    <xf numFmtId="166" fontId="3" fillId="0" borderId="0" xfId="0" applyNumberFormat="1" applyFont="1" applyAlignment="1">
      <alignment horizontal="center"/>
    </xf>
    <xf numFmtId="0" fontId="35" fillId="0" borderId="0" xfId="0" applyFont="1"/>
    <xf numFmtId="0" fontId="36" fillId="0" borderId="0" xfId="0" applyFont="1"/>
    <xf numFmtId="1" fontId="35" fillId="0" borderId="0" xfId="0" applyNumberFormat="1" applyFont="1" applyAlignment="1">
      <alignment horizontal="center"/>
    </xf>
    <xf numFmtId="0" fontId="37" fillId="0" borderId="0" xfId="0" applyFont="1"/>
    <xf numFmtId="0" fontId="38" fillId="0" borderId="0" xfId="0" applyFont="1"/>
    <xf numFmtId="1" fontId="35" fillId="0" borderId="0" xfId="0" applyNumberFormat="1" applyFont="1"/>
    <xf numFmtId="1" fontId="35" fillId="0" borderId="0" xfId="0" applyNumberFormat="1" applyFont="1" applyAlignment="1">
      <alignment horizontal="right"/>
    </xf>
    <xf numFmtId="0" fontId="39" fillId="3" borderId="0" xfId="0" applyFont="1" applyFill="1"/>
    <xf numFmtId="0" fontId="40" fillId="3" borderId="0" xfId="0" quotePrefix="1" applyFont="1" applyFill="1"/>
    <xf numFmtId="2" fontId="39" fillId="3" borderId="0" xfId="0" applyNumberFormat="1" applyFont="1" applyFill="1" applyAlignment="1">
      <alignment horizontal="right"/>
    </xf>
    <xf numFmtId="2" fontId="39" fillId="3" borderId="0" xfId="0" applyNumberFormat="1" applyFont="1" applyFill="1"/>
    <xf numFmtId="167" fontId="39" fillId="3" borderId="0" xfId="0" applyNumberFormat="1" applyFont="1" applyFill="1"/>
    <xf numFmtId="0" fontId="40" fillId="3" borderId="0" xfId="0" applyFont="1" applyFill="1"/>
    <xf numFmtId="0" fontId="39" fillId="3" borderId="0" xfId="0" applyFont="1" applyFill="1" applyAlignment="1">
      <alignment horizontal="right"/>
    </xf>
    <xf numFmtId="0" fontId="39" fillId="3" borderId="0" xfId="0" applyFont="1" applyFill="1" applyAlignment="1">
      <alignment horizontal="center"/>
    </xf>
    <xf numFmtId="2" fontId="39" fillId="3" borderId="0" xfId="0" applyNumberFormat="1" applyFont="1" applyFill="1" applyAlignment="1">
      <alignment horizontal="center"/>
    </xf>
    <xf numFmtId="0" fontId="39" fillId="3" borderId="0" xfId="0" applyFont="1" applyFill="1" applyAlignment="1">
      <alignment horizontal="center" vertical="top"/>
    </xf>
    <xf numFmtId="0" fontId="39" fillId="3" borderId="0" xfId="0" applyFont="1" applyFill="1" applyAlignment="1">
      <alignment horizontal="justify"/>
    </xf>
    <xf numFmtId="0" fontId="41" fillId="3" borderId="0" xfId="0" applyFont="1" applyFill="1"/>
    <xf numFmtId="0" fontId="39" fillId="3" borderId="0" xfId="0" applyFont="1" applyFill="1" applyAlignment="1">
      <alignment vertical="top"/>
    </xf>
    <xf numFmtId="0" fontId="42" fillId="3" borderId="0" xfId="0" applyFont="1" applyFill="1"/>
    <xf numFmtId="0" fontId="43" fillId="3" borderId="0" xfId="0" applyFont="1" applyFill="1"/>
    <xf numFmtId="2" fontId="43" fillId="3" borderId="0" xfId="0" applyNumberFormat="1" applyFont="1" applyFill="1"/>
    <xf numFmtId="0" fontId="43" fillId="3" borderId="0" xfId="0" applyFont="1" applyFill="1" applyAlignment="1">
      <alignment horizontal="center"/>
    </xf>
    <xf numFmtId="0" fontId="45" fillId="3" borderId="0" xfId="0" applyFont="1" applyFill="1" applyAlignment="1">
      <alignment horizontal="justify"/>
    </xf>
    <xf numFmtId="0" fontId="46" fillId="3" borderId="0" xfId="0" applyFont="1" applyFill="1"/>
    <xf numFmtId="0" fontId="44" fillId="3" borderId="0" xfId="0" applyFont="1" applyFill="1"/>
    <xf numFmtId="0" fontId="47" fillId="3" borderId="0" xfId="0" applyFont="1" applyFill="1"/>
    <xf numFmtId="4" fontId="0" fillId="0" borderId="0" xfId="0" applyNumberFormat="1"/>
    <xf numFmtId="4" fontId="0" fillId="0" borderId="5" xfId="0" applyNumberFormat="1" applyBorder="1"/>
    <xf numFmtId="4" fontId="5" fillId="0" borderId="5" xfId="0" applyNumberFormat="1" applyFont="1" applyBorder="1"/>
    <xf numFmtId="0" fontId="5" fillId="2" borderId="3" xfId="0" applyFont="1" applyFill="1" applyBorder="1" applyAlignment="1">
      <alignment horizontal="left" vertical="top" wrapText="1"/>
    </xf>
    <xf numFmtId="0" fontId="5" fillId="2" borderId="1" xfId="0" applyFont="1" applyFill="1" applyBorder="1" applyAlignment="1">
      <alignment horizontal="left" vertical="top" wrapText="1"/>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9" fillId="0" borderId="0" xfId="0" applyFont="1" applyAlignment="1">
      <alignment horizontal="center" vertical="top"/>
    </xf>
    <xf numFmtId="0" fontId="9" fillId="0" borderId="0" xfId="2" applyFont="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5" fillId="0" borderId="5" xfId="0" applyFont="1" applyBorder="1" applyAlignment="1">
      <alignment horizontal="center"/>
    </xf>
    <xf numFmtId="0" fontId="5" fillId="0" borderId="0" xfId="0" applyFont="1" applyAlignment="1">
      <alignment horizontal="center"/>
    </xf>
  </cellXfs>
  <cellStyles count="8">
    <cellStyle name="Normal 10" xfId="6"/>
    <cellStyle name="Normal 10 2" xfId="1"/>
    <cellStyle name="Normal 13" xfId="5"/>
    <cellStyle name="Normal 19" xfId="2"/>
    <cellStyle name="Normal 58 2" xfId="3"/>
    <cellStyle name="Normalno" xfId="0" builtinId="0"/>
    <cellStyle name="Style 1" xfId="4"/>
    <cellStyle name="Zarez" xfId="7"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S064\HOME\DOCUME~1\PODOLS~1\LOCALS~1\Temp\Skanska%20nab&#237;dka-0403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pidmc\poslovi_2020\Documents%20and%20Settings\Renato\My%20Documents\Izbor\Izbor_TR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15"/>
      <sheetName val="16"/>
      <sheetName val="19"/>
      <sheetName val="02"/>
      <sheetName val="21"/>
      <sheetName val="22"/>
      <sheetName val="23"/>
      <sheetName val="24"/>
      <sheetName val="26"/>
      <sheetName val="03"/>
      <sheetName val="35"/>
      <sheetName val="39"/>
      <sheetName val="40"/>
      <sheetName val="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EMLJANI"/>
    </sheetNames>
    <sheetDataSet>
      <sheetData sheetId="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166"/>
  <sheetViews>
    <sheetView tabSelected="1" view="pageBreakPreview" topLeftCell="A77" zoomScale="169" zoomScaleNormal="100" zoomScaleSheetLayoutView="100" workbookViewId="0">
      <selection activeCell="F93" sqref="F93"/>
    </sheetView>
  </sheetViews>
  <sheetFormatPr defaultColWidth="8.85546875" defaultRowHeight="12.75"/>
  <cols>
    <col min="1" max="1" width="7" style="47" customWidth="1"/>
    <col min="2" max="2" width="40.85546875" style="13" customWidth="1"/>
    <col min="3" max="3" width="8" style="2" customWidth="1"/>
    <col min="4" max="4" width="9.42578125" style="132" bestFit="1" customWidth="1"/>
    <col min="5" max="5" width="10.7109375" style="133" customWidth="1"/>
    <col min="6" max="6" width="11.85546875" style="139" customWidth="1"/>
    <col min="7" max="8" width="13.28515625" style="279" hidden="1" customWidth="1"/>
    <col min="9" max="9" width="0" style="293" hidden="1" customWidth="1"/>
    <col min="10" max="10" width="0" style="272" hidden="1" customWidth="1"/>
    <col min="11" max="14" width="0" hidden="1" customWidth="1"/>
  </cols>
  <sheetData>
    <row r="3" spans="1:8">
      <c r="F3" s="123"/>
    </row>
    <row r="4" spans="1:8">
      <c r="B4" s="14"/>
      <c r="F4" s="123"/>
    </row>
    <row r="5" spans="1:8">
      <c r="B5" s="14"/>
      <c r="C5" s="134"/>
      <c r="D5" s="97"/>
      <c r="E5" s="134"/>
      <c r="F5" s="134"/>
    </row>
    <row r="6" spans="1:8">
      <c r="F6" s="123"/>
    </row>
    <row r="7" spans="1:8">
      <c r="B7" s="14" t="s">
        <v>30</v>
      </c>
      <c r="F7" s="123"/>
    </row>
    <row r="8" spans="1:8">
      <c r="A8" s="47" t="s">
        <v>19</v>
      </c>
      <c r="B8" s="13" t="s">
        <v>18</v>
      </c>
      <c r="F8" s="123"/>
    </row>
    <row r="9" spans="1:8">
      <c r="B9" s="16" t="s">
        <v>88</v>
      </c>
      <c r="F9" s="123"/>
    </row>
    <row r="10" spans="1:8">
      <c r="F10" s="123"/>
      <c r="H10" s="280"/>
    </row>
    <row r="11" spans="1:8">
      <c r="A11" s="106" t="s">
        <v>6</v>
      </c>
      <c r="B11" s="15" t="s">
        <v>21</v>
      </c>
      <c r="C11" s="102" t="s">
        <v>32</v>
      </c>
      <c r="D11" s="135" t="s">
        <v>0</v>
      </c>
      <c r="E11" s="136" t="s">
        <v>31</v>
      </c>
      <c r="F11" s="137" t="s">
        <v>1</v>
      </c>
      <c r="H11" s="280"/>
    </row>
    <row r="12" spans="1:8">
      <c r="B12" s="18" t="s">
        <v>38</v>
      </c>
      <c r="F12" s="123"/>
    </row>
    <row r="13" spans="1:8" ht="144" customHeight="1">
      <c r="A13" s="47" t="s">
        <v>2</v>
      </c>
      <c r="B13" s="16" t="s">
        <v>36</v>
      </c>
      <c r="F13" s="123"/>
    </row>
    <row r="14" spans="1:8">
      <c r="A14" s="47" t="s">
        <v>114</v>
      </c>
      <c r="B14" s="13" t="s">
        <v>268</v>
      </c>
      <c r="C14" s="2" t="s">
        <v>28</v>
      </c>
      <c r="D14" s="132">
        <v>1</v>
      </c>
      <c r="F14" s="123">
        <f>SUM(D14*E14)</f>
        <v>0</v>
      </c>
    </row>
    <row r="15" spans="1:8">
      <c r="A15" s="47" t="s">
        <v>115</v>
      </c>
      <c r="B15" s="13" t="s">
        <v>266</v>
      </c>
      <c r="C15" s="2" t="s">
        <v>28</v>
      </c>
      <c r="D15" s="132">
        <v>1</v>
      </c>
      <c r="F15" s="123">
        <f t="shared" ref="F15:F25" si="0">SUM(D15*E15)</f>
        <v>0</v>
      </c>
    </row>
    <row r="16" spans="1:8">
      <c r="A16" s="47" t="s">
        <v>116</v>
      </c>
      <c r="B16" s="17" t="s">
        <v>267</v>
      </c>
      <c r="C16" s="2" t="s">
        <v>28</v>
      </c>
      <c r="D16" s="132">
        <v>1</v>
      </c>
      <c r="F16" s="123">
        <f t="shared" si="0"/>
        <v>0</v>
      </c>
    </row>
    <row r="17" spans="1:6">
      <c r="A17" s="47" t="s">
        <v>117</v>
      </c>
      <c r="B17" s="17" t="s">
        <v>269</v>
      </c>
      <c r="C17" s="2" t="s">
        <v>28</v>
      </c>
      <c r="D17" s="132">
        <v>1</v>
      </c>
      <c r="F17" s="123">
        <f t="shared" si="0"/>
        <v>0</v>
      </c>
    </row>
    <row r="18" spans="1:6">
      <c r="A18" s="47" t="s">
        <v>118</v>
      </c>
      <c r="B18" s="13" t="s">
        <v>270</v>
      </c>
      <c r="C18" s="2" t="s">
        <v>28</v>
      </c>
      <c r="D18" s="132">
        <v>1</v>
      </c>
      <c r="F18" s="123">
        <f t="shared" si="0"/>
        <v>0</v>
      </c>
    </row>
    <row r="19" spans="1:6">
      <c r="A19" s="47" t="s">
        <v>119</v>
      </c>
      <c r="B19" s="17" t="s">
        <v>271</v>
      </c>
      <c r="C19" s="2" t="s">
        <v>28</v>
      </c>
      <c r="D19" s="132">
        <v>1</v>
      </c>
      <c r="F19" s="123">
        <f t="shared" si="0"/>
        <v>0</v>
      </c>
    </row>
    <row r="20" spans="1:6">
      <c r="A20" s="47" t="s">
        <v>120</v>
      </c>
      <c r="B20" s="17" t="s">
        <v>272</v>
      </c>
      <c r="C20" s="2" t="s">
        <v>28</v>
      </c>
      <c r="D20" s="132">
        <v>1</v>
      </c>
      <c r="F20" s="123">
        <f t="shared" si="0"/>
        <v>0</v>
      </c>
    </row>
    <row r="21" spans="1:6">
      <c r="A21" s="47" t="s">
        <v>121</v>
      </c>
      <c r="B21" s="17" t="s">
        <v>262</v>
      </c>
      <c r="C21" s="2" t="s">
        <v>28</v>
      </c>
      <c r="D21" s="132">
        <v>1</v>
      </c>
      <c r="F21" s="123">
        <f t="shared" si="0"/>
        <v>0</v>
      </c>
    </row>
    <row r="22" spans="1:6">
      <c r="A22" s="47" t="s">
        <v>122</v>
      </c>
      <c r="B22" s="17" t="s">
        <v>263</v>
      </c>
      <c r="C22" s="2" t="s">
        <v>28</v>
      </c>
      <c r="D22" s="132">
        <v>1</v>
      </c>
      <c r="F22" s="123">
        <f t="shared" si="0"/>
        <v>0</v>
      </c>
    </row>
    <row r="23" spans="1:6" ht="25.5">
      <c r="A23" s="47" t="s">
        <v>123</v>
      </c>
      <c r="B23" s="17" t="s">
        <v>264</v>
      </c>
      <c r="C23" s="2" t="s">
        <v>28</v>
      </c>
      <c r="D23" s="132">
        <v>1</v>
      </c>
      <c r="F23" s="123">
        <f t="shared" si="0"/>
        <v>0</v>
      </c>
    </row>
    <row r="24" spans="1:6" ht="25.5">
      <c r="A24" s="47" t="s">
        <v>124</v>
      </c>
      <c r="B24" s="17" t="s">
        <v>265</v>
      </c>
      <c r="C24" s="2" t="s">
        <v>28</v>
      </c>
      <c r="D24" s="132">
        <v>1</v>
      </c>
      <c r="F24" s="123">
        <f t="shared" si="0"/>
        <v>0</v>
      </c>
    </row>
    <row r="25" spans="1:6">
      <c r="A25" s="47" t="s">
        <v>125</v>
      </c>
      <c r="B25" s="17" t="s">
        <v>273</v>
      </c>
      <c r="C25" s="2" t="s">
        <v>28</v>
      </c>
      <c r="D25" s="132">
        <v>1</v>
      </c>
      <c r="F25" s="123">
        <f t="shared" si="0"/>
        <v>0</v>
      </c>
    </row>
    <row r="26" spans="1:6">
      <c r="B26" s="16"/>
      <c r="F26" s="123"/>
    </row>
    <row r="27" spans="1:6" ht="155.25" customHeight="1">
      <c r="A27" s="47" t="s">
        <v>3</v>
      </c>
      <c r="B27" s="16" t="s">
        <v>29</v>
      </c>
      <c r="F27" s="123"/>
    </row>
    <row r="28" spans="1:6">
      <c r="A28" s="47" t="s">
        <v>126</v>
      </c>
      <c r="B28" s="13" t="s">
        <v>268</v>
      </c>
      <c r="C28" s="2" t="s">
        <v>28</v>
      </c>
      <c r="D28" s="132">
        <v>1</v>
      </c>
      <c r="F28" s="123">
        <f t="shared" ref="F28:F39" si="1">SUM(D28*E28)</f>
        <v>0</v>
      </c>
    </row>
    <row r="29" spans="1:6">
      <c r="A29" s="47" t="s">
        <v>127</v>
      </c>
      <c r="B29" s="13" t="s">
        <v>266</v>
      </c>
      <c r="C29" s="2" t="s">
        <v>28</v>
      </c>
      <c r="D29" s="132">
        <v>1</v>
      </c>
      <c r="F29" s="123">
        <f t="shared" si="1"/>
        <v>0</v>
      </c>
    </row>
    <row r="30" spans="1:6">
      <c r="A30" s="47" t="s">
        <v>128</v>
      </c>
      <c r="B30" s="17" t="s">
        <v>267</v>
      </c>
      <c r="C30" s="2" t="s">
        <v>28</v>
      </c>
      <c r="D30" s="132">
        <v>1</v>
      </c>
      <c r="F30" s="123">
        <f t="shared" si="1"/>
        <v>0</v>
      </c>
    </row>
    <row r="31" spans="1:6">
      <c r="A31" s="47" t="s">
        <v>129</v>
      </c>
      <c r="B31" s="17" t="s">
        <v>269</v>
      </c>
      <c r="C31" s="2" t="s">
        <v>28</v>
      </c>
      <c r="D31" s="132">
        <v>1</v>
      </c>
      <c r="F31" s="123">
        <f t="shared" si="1"/>
        <v>0</v>
      </c>
    </row>
    <row r="32" spans="1:6">
      <c r="A32" s="47" t="s">
        <v>130</v>
      </c>
      <c r="B32" s="13" t="s">
        <v>270</v>
      </c>
      <c r="C32" s="2" t="s">
        <v>28</v>
      </c>
      <c r="D32" s="132">
        <v>1</v>
      </c>
      <c r="F32" s="123">
        <f t="shared" si="1"/>
        <v>0</v>
      </c>
    </row>
    <row r="33" spans="1:6">
      <c r="A33" s="47" t="s">
        <v>131</v>
      </c>
      <c r="B33" s="17" t="s">
        <v>271</v>
      </c>
      <c r="C33" s="2" t="s">
        <v>28</v>
      </c>
      <c r="D33" s="132">
        <v>1</v>
      </c>
      <c r="F33" s="123">
        <f t="shared" si="1"/>
        <v>0</v>
      </c>
    </row>
    <row r="34" spans="1:6">
      <c r="A34" s="47" t="s">
        <v>132</v>
      </c>
      <c r="B34" s="17" t="s">
        <v>272</v>
      </c>
      <c r="C34" s="2" t="s">
        <v>28</v>
      </c>
      <c r="D34" s="132">
        <v>1</v>
      </c>
      <c r="F34" s="123">
        <f t="shared" si="1"/>
        <v>0</v>
      </c>
    </row>
    <row r="35" spans="1:6">
      <c r="A35" s="47" t="s">
        <v>133</v>
      </c>
      <c r="B35" s="17" t="s">
        <v>262</v>
      </c>
      <c r="C35" s="2" t="s">
        <v>28</v>
      </c>
      <c r="D35" s="132">
        <v>1</v>
      </c>
      <c r="F35" s="123">
        <f t="shared" si="1"/>
        <v>0</v>
      </c>
    </row>
    <row r="36" spans="1:6">
      <c r="A36" s="47" t="s">
        <v>134</v>
      </c>
      <c r="B36" s="17" t="s">
        <v>263</v>
      </c>
      <c r="C36" s="2" t="s">
        <v>28</v>
      </c>
      <c r="D36" s="132">
        <v>1</v>
      </c>
      <c r="F36" s="123">
        <f t="shared" si="1"/>
        <v>0</v>
      </c>
    </row>
    <row r="37" spans="1:6" ht="25.5">
      <c r="A37" s="47" t="s">
        <v>135</v>
      </c>
      <c r="B37" s="17" t="s">
        <v>264</v>
      </c>
      <c r="C37" s="2" t="s">
        <v>28</v>
      </c>
      <c r="D37" s="132">
        <v>1</v>
      </c>
      <c r="F37" s="123">
        <f t="shared" si="1"/>
        <v>0</v>
      </c>
    </row>
    <row r="38" spans="1:6" ht="25.5">
      <c r="A38" s="47" t="s">
        <v>136</v>
      </c>
      <c r="B38" s="17" t="s">
        <v>265</v>
      </c>
      <c r="C38" s="2" t="s">
        <v>28</v>
      </c>
      <c r="D38" s="132">
        <v>1</v>
      </c>
      <c r="F38" s="123">
        <f t="shared" si="1"/>
        <v>0</v>
      </c>
    </row>
    <row r="39" spans="1:6">
      <c r="A39" s="47" t="s">
        <v>137</v>
      </c>
      <c r="B39" s="17" t="s">
        <v>273</v>
      </c>
      <c r="C39" s="2" t="s">
        <v>28</v>
      </c>
      <c r="D39" s="132">
        <v>1</v>
      </c>
      <c r="F39" s="123">
        <f t="shared" si="1"/>
        <v>0</v>
      </c>
    </row>
    <row r="40" spans="1:6">
      <c r="B40" s="17"/>
      <c r="F40" s="123"/>
    </row>
    <row r="41" spans="1:6" ht="90.75" customHeight="1">
      <c r="A41" s="47" t="s">
        <v>4</v>
      </c>
      <c r="B41" s="100" t="s">
        <v>138</v>
      </c>
      <c r="F41" s="123"/>
    </row>
    <row r="42" spans="1:6" ht="25.5">
      <c r="A42" s="47" t="s">
        <v>139</v>
      </c>
      <c r="B42" s="13" t="s">
        <v>274</v>
      </c>
      <c r="C42" s="2" t="s">
        <v>64</v>
      </c>
      <c r="D42" s="132">
        <f>12*2</f>
        <v>24</v>
      </c>
      <c r="F42" s="123">
        <f t="shared" ref="F42:F53" si="2">SUM(D42*E42)</f>
        <v>0</v>
      </c>
    </row>
    <row r="43" spans="1:6" ht="25.5">
      <c r="A43" s="47" t="s">
        <v>140</v>
      </c>
      <c r="B43" s="13" t="s">
        <v>275</v>
      </c>
      <c r="C43" s="2" t="s">
        <v>64</v>
      </c>
      <c r="D43" s="132">
        <f>6*2</f>
        <v>12</v>
      </c>
      <c r="F43" s="123">
        <f t="shared" si="2"/>
        <v>0</v>
      </c>
    </row>
    <row r="44" spans="1:6" ht="14.25">
      <c r="A44" s="47" t="s">
        <v>141</v>
      </c>
      <c r="B44" s="17" t="s">
        <v>276</v>
      </c>
      <c r="C44" s="2" t="s">
        <v>64</v>
      </c>
      <c r="D44" s="132">
        <v>25</v>
      </c>
      <c r="F44" s="123">
        <f t="shared" si="2"/>
        <v>0</v>
      </c>
    </row>
    <row r="45" spans="1:6" ht="14.25">
      <c r="A45" s="47" t="s">
        <v>142</v>
      </c>
      <c r="B45" s="17" t="s">
        <v>277</v>
      </c>
      <c r="C45" s="2" t="s">
        <v>64</v>
      </c>
      <c r="D45" s="132">
        <f>10*2</f>
        <v>20</v>
      </c>
      <c r="F45" s="123">
        <f t="shared" si="2"/>
        <v>0</v>
      </c>
    </row>
    <row r="46" spans="1:6" ht="14.25">
      <c r="A46" s="47" t="s">
        <v>143</v>
      </c>
      <c r="B46" s="13" t="s">
        <v>278</v>
      </c>
      <c r="C46" s="2" t="s">
        <v>64</v>
      </c>
      <c r="D46" s="138">
        <f>13*2</f>
        <v>26</v>
      </c>
      <c r="F46" s="123">
        <f t="shared" si="2"/>
        <v>0</v>
      </c>
    </row>
    <row r="47" spans="1:6" ht="14.25">
      <c r="A47" s="47" t="s">
        <v>144</v>
      </c>
      <c r="B47" s="17" t="s">
        <v>279</v>
      </c>
      <c r="C47" s="2" t="s">
        <v>64</v>
      </c>
      <c r="D47" s="138">
        <v>50</v>
      </c>
      <c r="F47" s="123">
        <f t="shared" si="2"/>
        <v>0</v>
      </c>
    </row>
    <row r="48" spans="1:6" ht="14.25" customHeight="1">
      <c r="A48" s="47" t="s">
        <v>145</v>
      </c>
      <c r="B48" s="17" t="s">
        <v>280</v>
      </c>
      <c r="C48" s="2" t="s">
        <v>64</v>
      </c>
      <c r="D48" s="138">
        <v>50</v>
      </c>
      <c r="F48" s="123">
        <f t="shared" si="2"/>
        <v>0</v>
      </c>
    </row>
    <row r="49" spans="1:11" ht="25.5">
      <c r="A49" s="47" t="s">
        <v>146</v>
      </c>
      <c r="B49" s="17" t="s">
        <v>281</v>
      </c>
      <c r="C49" s="2" t="s">
        <v>64</v>
      </c>
      <c r="D49" s="138">
        <v>260</v>
      </c>
      <c r="F49" s="123">
        <f t="shared" si="2"/>
        <v>0</v>
      </c>
    </row>
    <row r="50" spans="1:11" ht="25.5">
      <c r="A50" s="47" t="s">
        <v>147</v>
      </c>
      <c r="B50" s="17" t="s">
        <v>282</v>
      </c>
      <c r="C50" s="2" t="s">
        <v>64</v>
      </c>
      <c r="D50" s="138">
        <v>260</v>
      </c>
      <c r="F50" s="123">
        <f t="shared" si="2"/>
        <v>0</v>
      </c>
    </row>
    <row r="51" spans="1:11" ht="38.25">
      <c r="A51" s="47" t="s">
        <v>148</v>
      </c>
      <c r="B51" s="17" t="s">
        <v>283</v>
      </c>
      <c r="C51" s="2" t="s">
        <v>64</v>
      </c>
      <c r="D51" s="138">
        <v>60</v>
      </c>
      <c r="F51" s="123">
        <f t="shared" si="2"/>
        <v>0</v>
      </c>
    </row>
    <row r="52" spans="1:11" ht="38.25">
      <c r="A52" s="47" t="s">
        <v>149</v>
      </c>
      <c r="B52" s="17" t="s">
        <v>284</v>
      </c>
      <c r="C52" s="2" t="s">
        <v>64</v>
      </c>
      <c r="D52" s="138">
        <f>D51</f>
        <v>60</v>
      </c>
      <c r="F52" s="123">
        <f t="shared" si="2"/>
        <v>0</v>
      </c>
    </row>
    <row r="53" spans="1:11" ht="14.25">
      <c r="A53" s="47" t="s">
        <v>150</v>
      </c>
      <c r="B53" s="17" t="s">
        <v>273</v>
      </c>
      <c r="C53" s="2" t="s">
        <v>64</v>
      </c>
      <c r="D53" s="138">
        <v>60</v>
      </c>
      <c r="F53" s="123">
        <f t="shared" si="2"/>
        <v>0</v>
      </c>
    </row>
    <row r="54" spans="1:11">
      <c r="B54" s="17"/>
      <c r="F54" s="123"/>
    </row>
    <row r="55" spans="1:11">
      <c r="B55" s="17"/>
      <c r="F55" s="123"/>
    </row>
    <row r="56" spans="1:11">
      <c r="B56" s="17"/>
      <c r="F56" s="123"/>
    </row>
    <row r="57" spans="1:11">
      <c r="B57" s="17"/>
      <c r="F57" s="123"/>
    </row>
    <row r="58" spans="1:11">
      <c r="B58" s="17"/>
      <c r="F58" s="123"/>
    </row>
    <row r="59" spans="1:11" ht="132.75" customHeight="1">
      <c r="A59" s="47" t="s">
        <v>5</v>
      </c>
      <c r="B59" s="16" t="s">
        <v>39</v>
      </c>
      <c r="F59" s="123"/>
    </row>
    <row r="60" spans="1:11" ht="36.75" customHeight="1">
      <c r="B60" s="17" t="s">
        <v>283</v>
      </c>
      <c r="C60" s="2" t="s">
        <v>64</v>
      </c>
      <c r="D60" s="138">
        <v>260</v>
      </c>
      <c r="F60" s="123">
        <f>SUM(D60*E60)</f>
        <v>0</v>
      </c>
    </row>
    <row r="61" spans="1:11" ht="13.5" customHeight="1">
      <c r="B61" s="16"/>
      <c r="F61" s="123"/>
    </row>
    <row r="62" spans="1:11">
      <c r="B62" s="19" t="s">
        <v>41</v>
      </c>
      <c r="F62" s="123"/>
    </row>
    <row r="63" spans="1:11" ht="193.5" customHeight="1">
      <c r="A63" s="47" t="s">
        <v>8</v>
      </c>
      <c r="B63" s="17" t="s">
        <v>156</v>
      </c>
      <c r="F63" s="123"/>
      <c r="H63" s="282"/>
      <c r="K63" t="s">
        <v>87</v>
      </c>
    </row>
    <row r="64" spans="1:11">
      <c r="B64" s="19" t="s">
        <v>81</v>
      </c>
    </row>
    <row r="65" spans="2:8">
      <c r="B65" s="19" t="s">
        <v>157</v>
      </c>
    </row>
    <row r="66" spans="2:8" ht="14.25">
      <c r="B66" s="17" t="s">
        <v>107</v>
      </c>
      <c r="C66" s="2" t="s">
        <v>64</v>
      </c>
      <c r="D66" s="133">
        <f>0.2*0.2*G66</f>
        <v>8.0000000000000016E-2</v>
      </c>
      <c r="F66" s="123"/>
      <c r="G66" s="281">
        <v>2</v>
      </c>
    </row>
    <row r="67" spans="2:8" ht="14.25">
      <c r="B67" s="17" t="s">
        <v>285</v>
      </c>
      <c r="C67" s="2" t="s">
        <v>64</v>
      </c>
      <c r="D67" s="133">
        <f t="shared" ref="D67:D70" si="3">0.2*0.2*G67</f>
        <v>8.0000000000000016E-2</v>
      </c>
      <c r="F67" s="123"/>
      <c r="G67" s="281">
        <v>2</v>
      </c>
    </row>
    <row r="68" spans="2:8" ht="14.25">
      <c r="B68" s="17" t="s">
        <v>110</v>
      </c>
      <c r="C68" s="2" t="s">
        <v>64</v>
      </c>
      <c r="D68" s="133">
        <f t="shared" si="3"/>
        <v>8.0000000000000016E-2</v>
      </c>
      <c r="F68" s="123"/>
      <c r="G68" s="281">
        <v>2</v>
      </c>
    </row>
    <row r="69" spans="2:8" ht="14.25">
      <c r="B69" s="17" t="s">
        <v>286</v>
      </c>
      <c r="C69" s="2" t="s">
        <v>64</v>
      </c>
      <c r="D69" s="133">
        <f t="shared" si="3"/>
        <v>8.0000000000000016E-2</v>
      </c>
      <c r="F69" s="123"/>
      <c r="G69" s="281">
        <v>2</v>
      </c>
    </row>
    <row r="70" spans="2:8" ht="14.25">
      <c r="B70" s="17" t="s">
        <v>287</v>
      </c>
      <c r="C70" s="2" t="s">
        <v>64</v>
      </c>
      <c r="D70" s="133">
        <f t="shared" si="3"/>
        <v>8.0000000000000016E-2</v>
      </c>
      <c r="F70" s="123"/>
      <c r="G70" s="281">
        <v>2</v>
      </c>
    </row>
    <row r="71" spans="2:8">
      <c r="B71" s="17"/>
      <c r="D71" s="133"/>
      <c r="F71" s="123"/>
      <c r="G71" s="282">
        <f>SUM(G66:G70)</f>
        <v>10</v>
      </c>
      <c r="H71" s="279" t="s">
        <v>89</v>
      </c>
    </row>
    <row r="72" spans="2:8">
      <c r="B72" s="19" t="s">
        <v>158</v>
      </c>
      <c r="D72" s="133"/>
      <c r="F72" s="123"/>
      <c r="G72" s="281"/>
    </row>
    <row r="73" spans="2:8" ht="14.25">
      <c r="B73" s="17" t="s">
        <v>107</v>
      </c>
      <c r="C73" s="2" t="s">
        <v>64</v>
      </c>
      <c r="D73" s="133">
        <f>0.2*0.2*G73</f>
        <v>0.20000000000000004</v>
      </c>
      <c r="F73" s="123"/>
      <c r="G73" s="281">
        <v>5</v>
      </c>
    </row>
    <row r="74" spans="2:8" ht="14.25">
      <c r="B74" s="17" t="s">
        <v>285</v>
      </c>
      <c r="C74" s="2" t="s">
        <v>64</v>
      </c>
      <c r="D74" s="133">
        <f t="shared" ref="D74:D78" si="4">0.2*0.2*G74</f>
        <v>0.20000000000000004</v>
      </c>
      <c r="F74" s="123"/>
      <c r="G74" s="281">
        <v>5</v>
      </c>
    </row>
    <row r="75" spans="2:8" ht="14.25">
      <c r="B75" s="17" t="s">
        <v>110</v>
      </c>
      <c r="C75" s="2" t="s">
        <v>64</v>
      </c>
      <c r="D75" s="133">
        <f t="shared" si="4"/>
        <v>0.20000000000000004</v>
      </c>
      <c r="F75" s="123"/>
      <c r="G75" s="281">
        <v>5</v>
      </c>
    </row>
    <row r="76" spans="2:8" ht="14.25">
      <c r="B76" s="17" t="s">
        <v>286</v>
      </c>
      <c r="C76" s="2" t="s">
        <v>64</v>
      </c>
      <c r="D76" s="133">
        <f t="shared" si="4"/>
        <v>0.20000000000000004</v>
      </c>
      <c r="F76" s="123"/>
      <c r="G76" s="281">
        <v>5</v>
      </c>
    </row>
    <row r="77" spans="2:8" ht="14.25">
      <c r="B77" s="17" t="s">
        <v>287</v>
      </c>
      <c r="C77" s="2" t="s">
        <v>64</v>
      </c>
      <c r="D77" s="133">
        <f t="shared" si="4"/>
        <v>0.20000000000000004</v>
      </c>
      <c r="F77" s="123"/>
      <c r="G77" s="281">
        <v>5</v>
      </c>
    </row>
    <row r="78" spans="2:8" ht="14.25">
      <c r="B78" s="17" t="s">
        <v>288</v>
      </c>
      <c r="C78" s="2" t="s">
        <v>64</v>
      </c>
      <c r="D78" s="133">
        <f t="shared" si="4"/>
        <v>0.20000000000000004</v>
      </c>
      <c r="F78" s="123"/>
      <c r="G78" s="281">
        <v>5</v>
      </c>
    </row>
    <row r="79" spans="2:8">
      <c r="B79" s="17"/>
      <c r="D79" s="133"/>
      <c r="F79" s="123"/>
      <c r="G79" s="282">
        <f>SUM(G73:G78)</f>
        <v>30</v>
      </c>
      <c r="H79" s="279" t="s">
        <v>89</v>
      </c>
    </row>
    <row r="80" spans="2:8">
      <c r="B80" s="19" t="s">
        <v>159</v>
      </c>
      <c r="D80" s="133"/>
      <c r="F80" s="123"/>
      <c r="G80" s="281"/>
    </row>
    <row r="81" spans="2:12" ht="14.25">
      <c r="B81" s="17" t="s">
        <v>107</v>
      </c>
      <c r="C81" s="2" t="s">
        <v>64</v>
      </c>
      <c r="D81" s="133">
        <f>0.2*0.2*G81</f>
        <v>0.20000000000000004</v>
      </c>
      <c r="F81" s="123"/>
      <c r="G81" s="281">
        <v>5</v>
      </c>
    </row>
    <row r="82" spans="2:12" ht="14.25">
      <c r="B82" s="17" t="s">
        <v>286</v>
      </c>
      <c r="C82" s="2" t="s">
        <v>64</v>
      </c>
      <c r="D82" s="133">
        <f t="shared" ref="D82:D83" si="5">0.2*0.2*G82</f>
        <v>0.20000000000000004</v>
      </c>
      <c r="F82" s="123"/>
      <c r="G82" s="281">
        <v>5</v>
      </c>
    </row>
    <row r="83" spans="2:12" ht="14.25">
      <c r="B83" s="17" t="s">
        <v>288</v>
      </c>
      <c r="C83" s="2" t="s">
        <v>64</v>
      </c>
      <c r="D83" s="133">
        <f t="shared" si="5"/>
        <v>0.20000000000000004</v>
      </c>
      <c r="F83" s="123"/>
      <c r="G83" s="281">
        <v>5</v>
      </c>
      <c r="L83" s="273"/>
    </row>
    <row r="84" spans="2:12">
      <c r="B84" s="17"/>
      <c r="D84" s="133"/>
      <c r="F84" s="123"/>
      <c r="G84" s="282">
        <f>SUM(G81:G83)</f>
        <v>15</v>
      </c>
      <c r="H84" s="279" t="s">
        <v>89</v>
      </c>
    </row>
    <row r="85" spans="2:12">
      <c r="B85" s="19" t="s">
        <v>160</v>
      </c>
      <c r="D85" s="133"/>
      <c r="F85" s="123"/>
      <c r="G85" s="281"/>
    </row>
    <row r="86" spans="2:12" ht="14.25">
      <c r="B86" s="17" t="s">
        <v>107</v>
      </c>
      <c r="C86" s="2" t="s">
        <v>64</v>
      </c>
      <c r="D86" s="133">
        <f>0.2*0.2*G86</f>
        <v>0.20000000000000004</v>
      </c>
      <c r="F86" s="123"/>
      <c r="G86" s="281">
        <v>5</v>
      </c>
    </row>
    <row r="87" spans="2:12" ht="14.25">
      <c r="B87" s="17" t="s">
        <v>286</v>
      </c>
      <c r="C87" s="2" t="s">
        <v>64</v>
      </c>
      <c r="D87" s="133">
        <f t="shared" ref="D87:D88" si="6">0.2*0.2*G87</f>
        <v>0.20000000000000004</v>
      </c>
      <c r="F87" s="123"/>
      <c r="G87" s="281">
        <v>5</v>
      </c>
    </row>
    <row r="88" spans="2:12" ht="14.25">
      <c r="B88" s="17" t="s">
        <v>288</v>
      </c>
      <c r="C88" s="2" t="s">
        <v>64</v>
      </c>
      <c r="D88" s="133">
        <f t="shared" si="6"/>
        <v>0.20000000000000004</v>
      </c>
      <c r="F88" s="123"/>
      <c r="G88" s="281">
        <v>5</v>
      </c>
    </row>
    <row r="89" spans="2:12">
      <c r="B89" s="17"/>
      <c r="D89" s="133"/>
      <c r="F89" s="123"/>
      <c r="G89" s="282">
        <f>SUM(G86:G88)</f>
        <v>15</v>
      </c>
      <c r="H89" s="279" t="s">
        <v>89</v>
      </c>
    </row>
    <row r="90" spans="2:12">
      <c r="B90" s="19" t="s">
        <v>161</v>
      </c>
      <c r="D90" s="133"/>
      <c r="F90" s="123"/>
      <c r="G90" s="281"/>
    </row>
    <row r="91" spans="2:12" ht="14.25">
      <c r="B91" s="17" t="s">
        <v>107</v>
      </c>
      <c r="C91" s="2" t="s">
        <v>64</v>
      </c>
      <c r="D91" s="133">
        <f>0.2*0.2*G91</f>
        <v>0.20000000000000004</v>
      </c>
      <c r="F91" s="123"/>
      <c r="G91" s="281">
        <v>5</v>
      </c>
    </row>
    <row r="92" spans="2:12" ht="14.25">
      <c r="B92" s="17" t="s">
        <v>286</v>
      </c>
      <c r="C92" s="2" t="s">
        <v>64</v>
      </c>
      <c r="D92" s="133">
        <f t="shared" ref="D92:D93" si="7">0.2*0.2*G92</f>
        <v>0.20000000000000004</v>
      </c>
      <c r="F92" s="123"/>
      <c r="G92" s="281">
        <v>5</v>
      </c>
    </row>
    <row r="93" spans="2:12" ht="14.25">
      <c r="B93" s="17" t="s">
        <v>288</v>
      </c>
      <c r="C93" s="2" t="s">
        <v>64</v>
      </c>
      <c r="D93" s="133">
        <f t="shared" si="7"/>
        <v>0.20000000000000004</v>
      </c>
      <c r="F93" s="123"/>
      <c r="G93" s="281">
        <v>5</v>
      </c>
    </row>
    <row r="94" spans="2:12" ht="14.25">
      <c r="B94" s="19" t="s">
        <v>65</v>
      </c>
      <c r="C94" s="103" t="s">
        <v>66</v>
      </c>
      <c r="D94" s="140">
        <f>SUM(D66:D93)</f>
        <v>3.4000000000000012</v>
      </c>
      <c r="F94" s="123">
        <f t="shared" ref="F91:F95" si="8">SUM(D94*E94)</f>
        <v>0</v>
      </c>
      <c r="G94" s="282">
        <f>SUM(G91:G93)</f>
        <v>15</v>
      </c>
      <c r="H94" s="279" t="s">
        <v>89</v>
      </c>
    </row>
    <row r="95" spans="2:12" ht="14.25">
      <c r="B95" s="19" t="s">
        <v>162</v>
      </c>
      <c r="C95" s="2" t="s">
        <v>67</v>
      </c>
      <c r="D95" s="133">
        <f>1.3*0.05*D94</f>
        <v>0.22100000000000009</v>
      </c>
      <c r="F95" s="123">
        <f>SUM(D95*E95)</f>
        <v>0</v>
      </c>
      <c r="G95" s="282">
        <f>G71+G79+G84+G89+G94</f>
        <v>85</v>
      </c>
      <c r="H95" s="279" t="s">
        <v>89</v>
      </c>
    </row>
    <row r="97" spans="1:6" ht="130.5" customHeight="1">
      <c r="A97" s="47" t="s">
        <v>9</v>
      </c>
      <c r="B97" s="17" t="s">
        <v>42</v>
      </c>
      <c r="F97" s="123"/>
    </row>
    <row r="98" spans="1:6">
      <c r="B98" s="19" t="s">
        <v>157</v>
      </c>
    </row>
    <row r="99" spans="1:6">
      <c r="B99" s="17" t="s">
        <v>107</v>
      </c>
      <c r="C99" s="2" t="s">
        <v>14</v>
      </c>
      <c r="D99" s="132">
        <f>G66</f>
        <v>2</v>
      </c>
      <c r="F99" s="123">
        <f t="shared" ref="F99:F103" si="9">SUM(D99*E99)</f>
        <v>0</v>
      </c>
    </row>
    <row r="100" spans="1:6">
      <c r="B100" s="17" t="s">
        <v>285</v>
      </c>
      <c r="C100" s="2" t="s">
        <v>14</v>
      </c>
      <c r="D100" s="132">
        <f>G67</f>
        <v>2</v>
      </c>
      <c r="F100" s="123">
        <f t="shared" si="9"/>
        <v>0</v>
      </c>
    </row>
    <row r="101" spans="1:6">
      <c r="B101" s="17" t="s">
        <v>110</v>
      </c>
      <c r="C101" s="2" t="s">
        <v>14</v>
      </c>
      <c r="D101" s="132">
        <f>G68</f>
        <v>2</v>
      </c>
      <c r="F101" s="123">
        <f t="shared" si="9"/>
        <v>0</v>
      </c>
    </row>
    <row r="102" spans="1:6">
      <c r="B102" s="17" t="s">
        <v>286</v>
      </c>
      <c r="C102" s="2" t="s">
        <v>14</v>
      </c>
      <c r="D102" s="132">
        <f>G69</f>
        <v>2</v>
      </c>
      <c r="F102" s="123">
        <f t="shared" si="9"/>
        <v>0</v>
      </c>
    </row>
    <row r="103" spans="1:6">
      <c r="B103" s="17" t="s">
        <v>287</v>
      </c>
      <c r="C103" s="2" t="s">
        <v>14</v>
      </c>
      <c r="D103" s="132">
        <f>G70</f>
        <v>2</v>
      </c>
      <c r="F103" s="123">
        <f t="shared" si="9"/>
        <v>0</v>
      </c>
    </row>
    <row r="104" spans="1:6">
      <c r="B104" s="17"/>
      <c r="F104" s="123"/>
    </row>
    <row r="105" spans="1:6">
      <c r="B105" s="19" t="s">
        <v>158</v>
      </c>
    </row>
    <row r="106" spans="1:6">
      <c r="B106" s="17" t="s">
        <v>107</v>
      </c>
      <c r="C106" s="2" t="s">
        <v>14</v>
      </c>
      <c r="D106" s="132">
        <f t="shared" ref="D106:D111" si="10">G73</f>
        <v>5</v>
      </c>
      <c r="F106" s="123">
        <f t="shared" ref="F106:F111" si="11">SUM(D106*E106)</f>
        <v>0</v>
      </c>
    </row>
    <row r="107" spans="1:6">
      <c r="B107" s="17" t="s">
        <v>285</v>
      </c>
      <c r="C107" s="2" t="s">
        <v>14</v>
      </c>
      <c r="D107" s="132">
        <f t="shared" si="10"/>
        <v>5</v>
      </c>
      <c r="F107" s="123">
        <f t="shared" si="11"/>
        <v>0</v>
      </c>
    </row>
    <row r="108" spans="1:6">
      <c r="B108" s="17" t="s">
        <v>110</v>
      </c>
      <c r="C108" s="2" t="s">
        <v>14</v>
      </c>
      <c r="D108" s="132">
        <f t="shared" si="10"/>
        <v>5</v>
      </c>
      <c r="F108" s="123">
        <f t="shared" si="11"/>
        <v>0</v>
      </c>
    </row>
    <row r="109" spans="1:6">
      <c r="B109" s="17" t="s">
        <v>286</v>
      </c>
      <c r="C109" s="2" t="s">
        <v>14</v>
      </c>
      <c r="D109" s="132">
        <f t="shared" si="10"/>
        <v>5</v>
      </c>
      <c r="F109" s="123">
        <f t="shared" si="11"/>
        <v>0</v>
      </c>
    </row>
    <row r="110" spans="1:6">
      <c r="B110" s="17" t="s">
        <v>287</v>
      </c>
      <c r="C110" s="2" t="s">
        <v>14</v>
      </c>
      <c r="D110" s="132">
        <f t="shared" si="10"/>
        <v>5</v>
      </c>
      <c r="F110" s="123">
        <f t="shared" si="11"/>
        <v>0</v>
      </c>
    </row>
    <row r="111" spans="1:6">
      <c r="B111" s="17" t="s">
        <v>288</v>
      </c>
      <c r="C111" s="2" t="s">
        <v>14</v>
      </c>
      <c r="D111" s="132">
        <f t="shared" si="10"/>
        <v>5</v>
      </c>
      <c r="F111" s="123">
        <f t="shared" si="11"/>
        <v>0</v>
      </c>
    </row>
    <row r="112" spans="1:6">
      <c r="B112" s="17"/>
      <c r="F112" s="123"/>
    </row>
    <row r="113" spans="1:6">
      <c r="B113" s="19" t="s">
        <v>159</v>
      </c>
      <c r="F113" s="123"/>
    </row>
    <row r="114" spans="1:6">
      <c r="B114" s="17" t="s">
        <v>107</v>
      </c>
      <c r="C114" s="2" t="s">
        <v>14</v>
      </c>
      <c r="D114" s="132">
        <f>G81</f>
        <v>5</v>
      </c>
      <c r="F114" s="123">
        <f t="shared" ref="F114:F116" si="12">SUM(D114*E114)</f>
        <v>0</v>
      </c>
    </row>
    <row r="115" spans="1:6">
      <c r="B115" s="17" t="s">
        <v>286</v>
      </c>
      <c r="C115" s="2" t="s">
        <v>14</v>
      </c>
      <c r="D115" s="132">
        <f>G82</f>
        <v>5</v>
      </c>
      <c r="F115" s="123">
        <f t="shared" si="12"/>
        <v>0</v>
      </c>
    </row>
    <row r="116" spans="1:6">
      <c r="B116" s="17" t="s">
        <v>288</v>
      </c>
      <c r="C116" s="2" t="s">
        <v>14</v>
      </c>
      <c r="D116" s="132">
        <f>G83</f>
        <v>5</v>
      </c>
      <c r="F116" s="123">
        <f t="shared" si="12"/>
        <v>0</v>
      </c>
    </row>
    <row r="117" spans="1:6">
      <c r="B117" s="17"/>
      <c r="F117" s="123"/>
    </row>
    <row r="118" spans="1:6">
      <c r="B118" s="19" t="s">
        <v>160</v>
      </c>
      <c r="F118" s="123"/>
    </row>
    <row r="119" spans="1:6">
      <c r="B119" s="17" t="s">
        <v>107</v>
      </c>
      <c r="C119" s="2" t="s">
        <v>14</v>
      </c>
      <c r="D119" s="132">
        <f>G86</f>
        <v>5</v>
      </c>
      <c r="F119" s="123">
        <f t="shared" ref="F119:F121" si="13">SUM(D119*E119)</f>
        <v>0</v>
      </c>
    </row>
    <row r="120" spans="1:6">
      <c r="B120" s="17" t="s">
        <v>286</v>
      </c>
      <c r="C120" s="2" t="s">
        <v>14</v>
      </c>
      <c r="D120" s="132">
        <f>G87</f>
        <v>5</v>
      </c>
      <c r="F120" s="123">
        <f t="shared" si="13"/>
        <v>0</v>
      </c>
    </row>
    <row r="121" spans="1:6">
      <c r="B121" s="17" t="s">
        <v>288</v>
      </c>
      <c r="C121" s="2" t="s">
        <v>14</v>
      </c>
      <c r="D121" s="132">
        <f>G88</f>
        <v>5</v>
      </c>
      <c r="F121" s="123">
        <f t="shared" si="13"/>
        <v>0</v>
      </c>
    </row>
    <row r="122" spans="1:6">
      <c r="B122" s="17"/>
      <c r="F122" s="123"/>
    </row>
    <row r="123" spans="1:6">
      <c r="B123" s="19" t="s">
        <v>161</v>
      </c>
      <c r="F123" s="123"/>
    </row>
    <row r="124" spans="1:6">
      <c r="B124" s="17" t="s">
        <v>107</v>
      </c>
      <c r="C124" s="2" t="s">
        <v>14</v>
      </c>
      <c r="D124" s="132">
        <f>G91</f>
        <v>5</v>
      </c>
      <c r="F124" s="123">
        <f t="shared" ref="F124:F126" si="14">SUM(D124*E124)</f>
        <v>0</v>
      </c>
    </row>
    <row r="125" spans="1:6">
      <c r="B125" s="17" t="s">
        <v>286</v>
      </c>
      <c r="C125" s="2" t="s">
        <v>14</v>
      </c>
      <c r="D125" s="132">
        <f>G92</f>
        <v>5</v>
      </c>
      <c r="F125" s="123">
        <f t="shared" si="14"/>
        <v>0</v>
      </c>
    </row>
    <row r="126" spans="1:6">
      <c r="B126" s="17" t="s">
        <v>288</v>
      </c>
      <c r="C126" s="2" t="s">
        <v>14</v>
      </c>
      <c r="D126" s="132">
        <f>G93</f>
        <v>5</v>
      </c>
      <c r="F126" s="123">
        <f t="shared" si="14"/>
        <v>0</v>
      </c>
    </row>
    <row r="127" spans="1:6">
      <c r="B127" s="17"/>
      <c r="F127" s="123"/>
    </row>
    <row r="128" spans="1:6" ht="63.75">
      <c r="A128" s="47" t="s">
        <v>51</v>
      </c>
      <c r="B128" s="17" t="s">
        <v>45</v>
      </c>
      <c r="F128" s="123"/>
    </row>
    <row r="129" spans="2:6">
      <c r="B129" s="19" t="s">
        <v>157</v>
      </c>
    </row>
    <row r="130" spans="2:6">
      <c r="B130" s="17" t="s">
        <v>103</v>
      </c>
      <c r="C130" s="2" t="s">
        <v>14</v>
      </c>
      <c r="D130" s="132">
        <f>G66</f>
        <v>2</v>
      </c>
      <c r="F130" s="123">
        <f t="shared" ref="F130:F134" si="15">SUM(D130*E130)</f>
        <v>0</v>
      </c>
    </row>
    <row r="131" spans="2:6">
      <c r="B131" s="17" t="s">
        <v>104</v>
      </c>
      <c r="C131" s="2" t="s">
        <v>14</v>
      </c>
      <c r="D131" s="132">
        <f>G67</f>
        <v>2</v>
      </c>
      <c r="F131" s="123">
        <f t="shared" si="15"/>
        <v>0</v>
      </c>
    </row>
    <row r="132" spans="2:6">
      <c r="B132" s="17" t="s">
        <v>105</v>
      </c>
      <c r="C132" s="2" t="s">
        <v>14</v>
      </c>
      <c r="D132" s="132">
        <f>G68</f>
        <v>2</v>
      </c>
      <c r="F132" s="123">
        <f t="shared" si="15"/>
        <v>0</v>
      </c>
    </row>
    <row r="133" spans="2:6">
      <c r="B133" s="17" t="s">
        <v>106</v>
      </c>
      <c r="C133" s="2" t="s">
        <v>14</v>
      </c>
      <c r="D133" s="132">
        <f>G69</f>
        <v>2</v>
      </c>
      <c r="F133" s="123">
        <f t="shared" si="15"/>
        <v>0</v>
      </c>
    </row>
    <row r="134" spans="2:6">
      <c r="B134" s="17" t="s">
        <v>109</v>
      </c>
      <c r="C134" s="2" t="s">
        <v>14</v>
      </c>
      <c r="D134" s="132">
        <f>G70</f>
        <v>2</v>
      </c>
      <c r="F134" s="123">
        <f t="shared" si="15"/>
        <v>0</v>
      </c>
    </row>
    <row r="135" spans="2:6">
      <c r="B135" s="17"/>
      <c r="F135" s="123"/>
    </row>
    <row r="136" spans="2:6">
      <c r="B136" s="19" t="s">
        <v>158</v>
      </c>
      <c r="F136" s="123"/>
    </row>
    <row r="137" spans="2:6">
      <c r="B137" s="17" t="s">
        <v>103</v>
      </c>
      <c r="C137" s="2" t="s">
        <v>14</v>
      </c>
      <c r="D137" s="132">
        <f t="shared" ref="D137:D142" si="16">G73</f>
        <v>5</v>
      </c>
      <c r="F137" s="123">
        <f t="shared" ref="F137:F142" si="17">SUM(D137*E137)</f>
        <v>0</v>
      </c>
    </row>
    <row r="138" spans="2:6">
      <c r="B138" s="17" t="s">
        <v>104</v>
      </c>
      <c r="C138" s="2" t="s">
        <v>14</v>
      </c>
      <c r="D138" s="132">
        <f t="shared" si="16"/>
        <v>5</v>
      </c>
      <c r="F138" s="123">
        <f t="shared" si="17"/>
        <v>0</v>
      </c>
    </row>
    <row r="139" spans="2:6">
      <c r="B139" s="17" t="s">
        <v>105</v>
      </c>
      <c r="C139" s="2" t="s">
        <v>14</v>
      </c>
      <c r="D139" s="132">
        <f t="shared" si="16"/>
        <v>5</v>
      </c>
      <c r="F139" s="123">
        <f t="shared" si="17"/>
        <v>0</v>
      </c>
    </row>
    <row r="140" spans="2:6">
      <c r="B140" s="17" t="s">
        <v>106</v>
      </c>
      <c r="C140" s="2" t="s">
        <v>14</v>
      </c>
      <c r="D140" s="132">
        <f t="shared" si="16"/>
        <v>5</v>
      </c>
      <c r="F140" s="123">
        <f t="shared" si="17"/>
        <v>0</v>
      </c>
    </row>
    <row r="141" spans="2:6">
      <c r="B141" s="17" t="s">
        <v>107</v>
      </c>
      <c r="C141" s="2" t="s">
        <v>14</v>
      </c>
      <c r="D141" s="132">
        <f t="shared" si="16"/>
        <v>5</v>
      </c>
      <c r="F141" s="123">
        <f t="shared" si="17"/>
        <v>0</v>
      </c>
    </row>
    <row r="142" spans="2:6">
      <c r="B142" s="17" t="s">
        <v>108</v>
      </c>
      <c r="C142" s="2" t="s">
        <v>14</v>
      </c>
      <c r="D142" s="132">
        <f t="shared" si="16"/>
        <v>5</v>
      </c>
      <c r="F142" s="123">
        <f t="shared" si="17"/>
        <v>0</v>
      </c>
    </row>
    <row r="143" spans="2:6">
      <c r="B143" s="17"/>
      <c r="F143" s="123"/>
    </row>
    <row r="144" spans="2:6">
      <c r="B144" s="19" t="s">
        <v>159</v>
      </c>
      <c r="F144" s="123"/>
    </row>
    <row r="145" spans="1:6">
      <c r="B145" s="17" t="s">
        <v>103</v>
      </c>
      <c r="C145" s="2" t="s">
        <v>14</v>
      </c>
      <c r="D145" s="132">
        <f>G81</f>
        <v>5</v>
      </c>
      <c r="F145" s="123">
        <f t="shared" ref="F145:F147" si="18">SUM(D145*E145)</f>
        <v>0</v>
      </c>
    </row>
    <row r="146" spans="1:6">
      <c r="B146" s="17" t="s">
        <v>104</v>
      </c>
      <c r="C146" s="2" t="s">
        <v>14</v>
      </c>
      <c r="D146" s="132">
        <f>G82</f>
        <v>5</v>
      </c>
      <c r="F146" s="123">
        <f t="shared" si="18"/>
        <v>0</v>
      </c>
    </row>
    <row r="147" spans="1:6">
      <c r="B147" s="17" t="s">
        <v>105</v>
      </c>
      <c r="C147" s="2" t="s">
        <v>14</v>
      </c>
      <c r="D147" s="132">
        <f>G83</f>
        <v>5</v>
      </c>
      <c r="F147" s="123">
        <f t="shared" si="18"/>
        <v>0</v>
      </c>
    </row>
    <row r="148" spans="1:6">
      <c r="B148" s="17"/>
      <c r="F148" s="123"/>
    </row>
    <row r="149" spans="1:6">
      <c r="B149" s="19" t="s">
        <v>160</v>
      </c>
      <c r="F149" s="123"/>
    </row>
    <row r="150" spans="1:6">
      <c r="B150" s="17" t="s">
        <v>103</v>
      </c>
      <c r="C150" s="2" t="s">
        <v>14</v>
      </c>
      <c r="D150" s="132">
        <f>G86</f>
        <v>5</v>
      </c>
      <c r="F150" s="123">
        <f t="shared" ref="F150:F152" si="19">SUM(D150*E150)</f>
        <v>0</v>
      </c>
    </row>
    <row r="151" spans="1:6">
      <c r="B151" s="17" t="s">
        <v>104</v>
      </c>
      <c r="C151" s="2" t="s">
        <v>14</v>
      </c>
      <c r="D151" s="132">
        <f>G87</f>
        <v>5</v>
      </c>
      <c r="F151" s="123">
        <f t="shared" si="19"/>
        <v>0</v>
      </c>
    </row>
    <row r="152" spans="1:6">
      <c r="B152" s="17" t="s">
        <v>105</v>
      </c>
      <c r="C152" s="2" t="s">
        <v>14</v>
      </c>
      <c r="D152" s="132">
        <f>G88</f>
        <v>5</v>
      </c>
      <c r="F152" s="123">
        <f t="shared" si="19"/>
        <v>0</v>
      </c>
    </row>
    <row r="153" spans="1:6">
      <c r="B153" s="17"/>
      <c r="F153" s="123"/>
    </row>
    <row r="154" spans="1:6">
      <c r="B154" s="19" t="s">
        <v>161</v>
      </c>
      <c r="F154" s="123"/>
    </row>
    <row r="155" spans="1:6">
      <c r="B155" s="17" t="s">
        <v>103</v>
      </c>
      <c r="C155" s="2" t="s">
        <v>14</v>
      </c>
      <c r="D155" s="132">
        <f>G91</f>
        <v>5</v>
      </c>
      <c r="F155" s="123">
        <f t="shared" ref="F155:F157" si="20">SUM(D155*E155)</f>
        <v>0</v>
      </c>
    </row>
    <row r="156" spans="1:6">
      <c r="B156" s="17" t="s">
        <v>104</v>
      </c>
      <c r="C156" s="2" t="s">
        <v>14</v>
      </c>
      <c r="D156" s="132">
        <f>G92</f>
        <v>5</v>
      </c>
      <c r="F156" s="123">
        <f t="shared" si="20"/>
        <v>0</v>
      </c>
    </row>
    <row r="157" spans="1:6">
      <c r="B157" s="17" t="s">
        <v>105</v>
      </c>
      <c r="C157" s="2" t="s">
        <v>14</v>
      </c>
      <c r="D157" s="132">
        <f>G93</f>
        <v>5</v>
      </c>
      <c r="F157" s="123">
        <f t="shared" si="20"/>
        <v>0</v>
      </c>
    </row>
    <row r="158" spans="1:6">
      <c r="B158" s="17"/>
      <c r="F158" s="123"/>
    </row>
    <row r="159" spans="1:6" ht="14.25" customHeight="1">
      <c r="B159" s="18" t="s">
        <v>70</v>
      </c>
      <c r="F159" s="123"/>
    </row>
    <row r="160" spans="1:6" ht="66.75" customHeight="1">
      <c r="A160" s="47" t="s">
        <v>52</v>
      </c>
      <c r="B160" s="16" t="s">
        <v>163</v>
      </c>
      <c r="F160" s="123"/>
    </row>
    <row r="161" spans="1:6" ht="13.5" customHeight="1">
      <c r="B161" s="18" t="s">
        <v>40</v>
      </c>
      <c r="F161" s="123"/>
    </row>
    <row r="162" spans="1:6" ht="14.25">
      <c r="A162" s="47" t="s">
        <v>232</v>
      </c>
      <c r="B162" s="13" t="s">
        <v>299</v>
      </c>
      <c r="C162" s="2" t="s">
        <v>64</v>
      </c>
      <c r="D162" s="132">
        <v>0</v>
      </c>
      <c r="F162" s="123">
        <f t="shared" ref="F162:F169" si="21">SUM(D162*E162)</f>
        <v>0</v>
      </c>
    </row>
    <row r="163" spans="1:6" ht="14.25">
      <c r="A163" s="47" t="s">
        <v>233</v>
      </c>
      <c r="B163" s="13" t="s">
        <v>300</v>
      </c>
      <c r="C163" s="2" t="s">
        <v>64</v>
      </c>
      <c r="D163" s="132">
        <v>0</v>
      </c>
      <c r="F163" s="123">
        <f t="shared" si="21"/>
        <v>0</v>
      </c>
    </row>
    <row r="164" spans="1:6" ht="14.25">
      <c r="A164" s="47" t="s">
        <v>301</v>
      </c>
      <c r="B164" s="13" t="s">
        <v>296</v>
      </c>
      <c r="C164" s="2" t="s">
        <v>64</v>
      </c>
      <c r="D164" s="132">
        <v>0</v>
      </c>
      <c r="F164" s="123">
        <f t="shared" si="21"/>
        <v>0</v>
      </c>
    </row>
    <row r="165" spans="1:6" ht="14.25">
      <c r="A165" s="47" t="s">
        <v>302</v>
      </c>
      <c r="B165" s="13" t="s">
        <v>297</v>
      </c>
      <c r="C165" s="2" t="s">
        <v>64</v>
      </c>
      <c r="D165" s="132">
        <v>0</v>
      </c>
      <c r="F165" s="123">
        <f t="shared" si="21"/>
        <v>0</v>
      </c>
    </row>
    <row r="166" spans="1:6" ht="14.25">
      <c r="A166" s="47" t="s">
        <v>303</v>
      </c>
      <c r="B166" s="13" t="s">
        <v>298</v>
      </c>
      <c r="C166" s="2" t="s">
        <v>64</v>
      </c>
      <c r="D166" s="132">
        <v>0</v>
      </c>
      <c r="F166" s="123">
        <f t="shared" si="21"/>
        <v>0</v>
      </c>
    </row>
    <row r="167" spans="1:6" ht="14.25">
      <c r="A167" s="47" t="s">
        <v>304</v>
      </c>
      <c r="B167" s="13" t="s">
        <v>294</v>
      </c>
      <c r="C167" s="2" t="s">
        <v>64</v>
      </c>
      <c r="D167" s="132">
        <f>17.5*6.2</f>
        <v>108.5</v>
      </c>
      <c r="F167" s="123">
        <f t="shared" si="21"/>
        <v>0</v>
      </c>
    </row>
    <row r="168" spans="1:6" ht="14.25">
      <c r="A168" s="47" t="s">
        <v>305</v>
      </c>
      <c r="B168" s="13" t="s">
        <v>295</v>
      </c>
      <c r="C168" s="2" t="s">
        <v>64</v>
      </c>
      <c r="D168" s="132">
        <f>17.5*6.2</f>
        <v>108.5</v>
      </c>
      <c r="F168" s="123">
        <f t="shared" si="21"/>
        <v>0</v>
      </c>
    </row>
    <row r="169" spans="1:6" ht="14.25">
      <c r="B169" s="19" t="s">
        <v>65</v>
      </c>
      <c r="C169" s="103" t="s">
        <v>66</v>
      </c>
      <c r="D169" s="141">
        <f>SUM(D162:D168)</f>
        <v>217</v>
      </c>
      <c r="F169" s="123">
        <f t="shared" si="21"/>
        <v>0</v>
      </c>
    </row>
    <row r="170" spans="1:6" ht="13.5" customHeight="1">
      <c r="B170" s="19" t="s">
        <v>162</v>
      </c>
      <c r="F170" s="123"/>
    </row>
    <row r="171" spans="1:6" ht="14.25">
      <c r="B171" s="17" t="s">
        <v>50</v>
      </c>
      <c r="C171" s="2" t="s">
        <v>67</v>
      </c>
      <c r="D171" s="132">
        <f>0.05*1.3*D169</f>
        <v>14.105</v>
      </c>
      <c r="F171" s="123">
        <f>SUM(D171*E171)</f>
        <v>0</v>
      </c>
    </row>
    <row r="172" spans="1:6">
      <c r="B172" s="17"/>
      <c r="F172" s="123"/>
    </row>
    <row r="173" spans="1:6" ht="66.75" customHeight="1">
      <c r="A173" s="47" t="s">
        <v>53</v>
      </c>
      <c r="B173" s="16" t="s">
        <v>164</v>
      </c>
      <c r="F173" s="123"/>
    </row>
    <row r="174" spans="1:6" ht="14.25">
      <c r="A174" s="47" t="s">
        <v>165</v>
      </c>
      <c r="B174" s="13" t="s">
        <v>289</v>
      </c>
      <c r="C174" s="2" t="s">
        <v>64</v>
      </c>
      <c r="D174" s="132">
        <f>16*1.74</f>
        <v>27.84</v>
      </c>
      <c r="F174" s="123">
        <f t="shared" ref="F174:F180" si="22">SUM(D174*E174)</f>
        <v>0</v>
      </c>
    </row>
    <row r="175" spans="1:6" ht="14.25">
      <c r="A175" s="47" t="s">
        <v>166</v>
      </c>
      <c r="B175" s="13" t="s">
        <v>290</v>
      </c>
      <c r="C175" s="2" t="s">
        <v>64</v>
      </c>
      <c r="D175" s="132">
        <f>16*7</f>
        <v>112</v>
      </c>
      <c r="F175" s="123">
        <f t="shared" si="22"/>
        <v>0</v>
      </c>
    </row>
    <row r="176" spans="1:6" ht="14.25">
      <c r="A176" s="47" t="s">
        <v>210</v>
      </c>
      <c r="B176" s="13" t="s">
        <v>291</v>
      </c>
      <c r="C176" s="2" t="s">
        <v>64</v>
      </c>
      <c r="D176" s="132">
        <f>14*4.5</f>
        <v>63</v>
      </c>
      <c r="F176" s="123">
        <f t="shared" si="22"/>
        <v>0</v>
      </c>
    </row>
    <row r="177" spans="1:6" ht="14.25">
      <c r="A177" s="47" t="s">
        <v>211</v>
      </c>
      <c r="B177" s="13" t="s">
        <v>293</v>
      </c>
      <c r="C177" s="2" t="s">
        <v>64</v>
      </c>
      <c r="D177" s="132">
        <f>14*2.75</f>
        <v>38.5</v>
      </c>
      <c r="F177" s="123">
        <f t="shared" si="22"/>
        <v>0</v>
      </c>
    </row>
    <row r="178" spans="1:6" ht="14.25">
      <c r="A178" s="47" t="s">
        <v>212</v>
      </c>
      <c r="B178" s="13" t="s">
        <v>292</v>
      </c>
      <c r="C178" s="2" t="s">
        <v>64</v>
      </c>
      <c r="D178" s="132">
        <f>14*4.5</f>
        <v>63</v>
      </c>
      <c r="F178" s="123">
        <f t="shared" si="22"/>
        <v>0</v>
      </c>
    </row>
    <row r="179" spans="1:6" ht="14.25">
      <c r="A179" s="47" t="s">
        <v>213</v>
      </c>
      <c r="B179" s="13" t="s">
        <v>294</v>
      </c>
      <c r="C179" s="2" t="s">
        <v>64</v>
      </c>
      <c r="D179" s="132">
        <f>17.5*6.2</f>
        <v>108.5</v>
      </c>
      <c r="F179" s="123">
        <f t="shared" si="22"/>
        <v>0</v>
      </c>
    </row>
    <row r="180" spans="1:6" ht="14.25">
      <c r="A180" s="47" t="s">
        <v>214</v>
      </c>
      <c r="B180" s="13" t="s">
        <v>295</v>
      </c>
      <c r="C180" s="2" t="s">
        <v>64</v>
      </c>
      <c r="D180" s="132">
        <f>17.5*6.2</f>
        <v>108.5</v>
      </c>
      <c r="F180" s="123">
        <f t="shared" si="22"/>
        <v>0</v>
      </c>
    </row>
    <row r="181" spans="1:6">
      <c r="B181" s="17"/>
      <c r="F181" s="123"/>
    </row>
    <row r="182" spans="1:6" ht="63.75">
      <c r="A182" s="47" t="s">
        <v>54</v>
      </c>
      <c r="B182" s="16" t="s">
        <v>37</v>
      </c>
      <c r="F182" s="123"/>
    </row>
    <row r="183" spans="1:6" ht="14.25">
      <c r="A183" s="47" t="s">
        <v>204</v>
      </c>
      <c r="B183" s="13" t="s">
        <v>289</v>
      </c>
      <c r="C183" s="2" t="s">
        <v>64</v>
      </c>
      <c r="D183" s="132">
        <f>16*1.74</f>
        <v>27.84</v>
      </c>
      <c r="F183" s="123">
        <f t="shared" ref="F183:F189" si="23">SUM(D183*E183)</f>
        <v>0</v>
      </c>
    </row>
    <row r="184" spans="1:6" ht="14.25">
      <c r="A184" s="47" t="s">
        <v>205</v>
      </c>
      <c r="B184" s="13" t="s">
        <v>290</v>
      </c>
      <c r="C184" s="2" t="s">
        <v>64</v>
      </c>
      <c r="D184" s="132">
        <f>16*7</f>
        <v>112</v>
      </c>
      <c r="F184" s="123">
        <f t="shared" si="23"/>
        <v>0</v>
      </c>
    </row>
    <row r="185" spans="1:6" ht="14.25">
      <c r="A185" s="47" t="s">
        <v>215</v>
      </c>
      <c r="B185" s="13" t="s">
        <v>291</v>
      </c>
      <c r="C185" s="2" t="s">
        <v>64</v>
      </c>
      <c r="D185" s="132">
        <f>14*4.5</f>
        <v>63</v>
      </c>
      <c r="F185" s="123">
        <f t="shared" si="23"/>
        <v>0</v>
      </c>
    </row>
    <row r="186" spans="1:6" ht="14.25">
      <c r="A186" s="47" t="s">
        <v>216</v>
      </c>
      <c r="B186" s="13" t="s">
        <v>293</v>
      </c>
      <c r="C186" s="2" t="s">
        <v>64</v>
      </c>
      <c r="D186" s="132">
        <f>14*2.75</f>
        <v>38.5</v>
      </c>
      <c r="F186" s="123">
        <f t="shared" si="23"/>
        <v>0</v>
      </c>
    </row>
    <row r="187" spans="1:6" ht="14.25">
      <c r="A187" s="47" t="s">
        <v>217</v>
      </c>
      <c r="B187" s="13" t="s">
        <v>292</v>
      </c>
      <c r="C187" s="2" t="s">
        <v>64</v>
      </c>
      <c r="D187" s="132">
        <f>14*4.5</f>
        <v>63</v>
      </c>
      <c r="F187" s="123">
        <f t="shared" si="23"/>
        <v>0</v>
      </c>
    </row>
    <row r="188" spans="1:6" ht="14.25">
      <c r="A188" s="47" t="s">
        <v>218</v>
      </c>
      <c r="B188" s="13" t="s">
        <v>294</v>
      </c>
      <c r="C188" s="2" t="s">
        <v>64</v>
      </c>
      <c r="D188" s="132">
        <f>17.5*6.2</f>
        <v>108.5</v>
      </c>
      <c r="F188" s="123">
        <f t="shared" si="23"/>
        <v>0</v>
      </c>
    </row>
    <row r="189" spans="1:6" ht="14.25">
      <c r="A189" s="47" t="s">
        <v>219</v>
      </c>
      <c r="B189" s="13" t="s">
        <v>295</v>
      </c>
      <c r="C189" s="2" t="s">
        <v>64</v>
      </c>
      <c r="D189" s="132">
        <f>17.5*6.2</f>
        <v>108.5</v>
      </c>
      <c r="F189" s="123">
        <f t="shared" si="23"/>
        <v>0</v>
      </c>
    </row>
    <row r="190" spans="1:6">
      <c r="F190" s="123"/>
    </row>
    <row r="191" spans="1:6">
      <c r="B191" s="18" t="s">
        <v>306</v>
      </c>
      <c r="F191" s="123"/>
    </row>
    <row r="192" spans="1:6" ht="78.75" customHeight="1">
      <c r="A192" s="47" t="s">
        <v>55</v>
      </c>
      <c r="B192" s="16" t="s">
        <v>307</v>
      </c>
      <c r="F192" s="123"/>
    </row>
    <row r="193" spans="1:6" ht="14.25">
      <c r="A193" s="47" t="s">
        <v>167</v>
      </c>
      <c r="B193" s="17" t="s">
        <v>308</v>
      </c>
      <c r="C193" s="2" t="s">
        <v>64</v>
      </c>
      <c r="D193" s="132">
        <f>14.5*21</f>
        <v>304.5</v>
      </c>
      <c r="F193" s="123">
        <f t="shared" ref="F193:F199" si="24">SUM(D193*E193)</f>
        <v>0</v>
      </c>
    </row>
    <row r="194" spans="1:6" ht="14.25">
      <c r="A194" s="47" t="s">
        <v>168</v>
      </c>
      <c r="B194" s="17" t="s">
        <v>309</v>
      </c>
      <c r="C194" s="2" t="s">
        <v>64</v>
      </c>
      <c r="D194" s="132">
        <f>14.5*18</f>
        <v>261</v>
      </c>
      <c r="F194" s="123">
        <f t="shared" si="24"/>
        <v>0</v>
      </c>
    </row>
    <row r="195" spans="1:6" ht="14.25">
      <c r="A195" s="47" t="s">
        <v>220</v>
      </c>
      <c r="B195" s="17" t="s">
        <v>310</v>
      </c>
      <c r="C195" s="2" t="s">
        <v>64</v>
      </c>
      <c r="D195" s="132">
        <f>4*(5.5+4+5.5*2+4*2+2*6+2*1.3+2+2*2.5+2*2+2*39)</f>
        <v>528.4</v>
      </c>
      <c r="F195" s="123">
        <f t="shared" si="24"/>
        <v>0</v>
      </c>
    </row>
    <row r="196" spans="1:6" ht="14.25">
      <c r="A196" s="47" t="s">
        <v>221</v>
      </c>
      <c r="B196" s="17" t="s">
        <v>311</v>
      </c>
      <c r="C196" s="2" t="s">
        <v>64</v>
      </c>
      <c r="D196" s="132">
        <f>4*(5.5+4+5.5*2+4*2+2*6+2*1.3+2+2*2.5+2*2+2*39)</f>
        <v>528.4</v>
      </c>
      <c r="F196" s="123">
        <f t="shared" si="24"/>
        <v>0</v>
      </c>
    </row>
    <row r="197" spans="1:6" ht="14.25">
      <c r="A197" s="47" t="s">
        <v>222</v>
      </c>
      <c r="B197" s="17" t="s">
        <v>312</v>
      </c>
      <c r="C197" s="2" t="s">
        <v>64</v>
      </c>
      <c r="D197" s="132">
        <f>4*(5.5+4+5.5*2+4*2+2*6+2*1.3+2+2*2.5+2*2+2*39)</f>
        <v>528.4</v>
      </c>
      <c r="F197" s="123">
        <f t="shared" si="24"/>
        <v>0</v>
      </c>
    </row>
    <row r="198" spans="1:6" ht="14.25">
      <c r="A198" s="47" t="s">
        <v>223</v>
      </c>
      <c r="B198" s="17" t="s">
        <v>313</v>
      </c>
      <c r="C198" s="2" t="s">
        <v>64</v>
      </c>
      <c r="D198" s="132">
        <f>4*(5.5+4+5.5*2+4+4+4)</f>
        <v>130</v>
      </c>
      <c r="F198" s="123">
        <f t="shared" si="24"/>
        <v>0</v>
      </c>
    </row>
    <row r="199" spans="1:6" ht="14.25">
      <c r="B199" s="19" t="s">
        <v>65</v>
      </c>
      <c r="C199" s="103" t="s">
        <v>66</v>
      </c>
      <c r="D199" s="141">
        <f>SUM(D193:D198)</f>
        <v>2280.7000000000003</v>
      </c>
      <c r="F199" s="123">
        <f t="shared" si="24"/>
        <v>0</v>
      </c>
    </row>
    <row r="200" spans="1:6">
      <c r="B200" s="19" t="s">
        <v>162</v>
      </c>
      <c r="F200" s="123"/>
    </row>
    <row r="201" spans="1:6" ht="14.25">
      <c r="B201" s="17" t="s">
        <v>50</v>
      </c>
      <c r="C201" s="2" t="s">
        <v>67</v>
      </c>
      <c r="D201" s="132">
        <f>0.05*1.3*D199</f>
        <v>148.24550000000002</v>
      </c>
      <c r="F201" s="123">
        <f>SUM(D201*E201)</f>
        <v>0</v>
      </c>
    </row>
    <row r="202" spans="1:6">
      <c r="B202" s="17"/>
      <c r="F202" s="123"/>
    </row>
    <row r="203" spans="1:6" ht="63.75">
      <c r="A203" s="47" t="s">
        <v>56</v>
      </c>
      <c r="B203" s="16" t="s">
        <v>71</v>
      </c>
      <c r="F203" s="123"/>
    </row>
    <row r="204" spans="1:6" ht="14.25">
      <c r="A204" s="47" t="s">
        <v>169</v>
      </c>
      <c r="B204" s="17" t="s">
        <v>308</v>
      </c>
      <c r="C204" s="2" t="s">
        <v>64</v>
      </c>
      <c r="D204" s="132">
        <f>14.5*21</f>
        <v>304.5</v>
      </c>
      <c r="F204" s="123">
        <f t="shared" ref="F204:F209" si="25">SUM(D204*E204)</f>
        <v>0</v>
      </c>
    </row>
    <row r="205" spans="1:6" ht="14.25">
      <c r="A205" s="47" t="s">
        <v>170</v>
      </c>
      <c r="B205" s="17" t="s">
        <v>309</v>
      </c>
      <c r="C205" s="2" t="s">
        <v>64</v>
      </c>
      <c r="D205" s="132">
        <f>14.5*18</f>
        <v>261</v>
      </c>
      <c r="F205" s="123">
        <f t="shared" si="25"/>
        <v>0</v>
      </c>
    </row>
    <row r="206" spans="1:6" ht="14.25">
      <c r="A206" s="47" t="s">
        <v>225</v>
      </c>
      <c r="B206" s="17" t="s">
        <v>310</v>
      </c>
      <c r="C206" s="2" t="s">
        <v>64</v>
      </c>
      <c r="D206" s="132">
        <f>4*(5.5+4+5.5*2+4*2+2*6+2*1.3+2+2*2.5+2*2+2*39)</f>
        <v>528.4</v>
      </c>
      <c r="F206" s="123">
        <f t="shared" si="25"/>
        <v>0</v>
      </c>
    </row>
    <row r="207" spans="1:6" ht="14.25">
      <c r="A207" s="47" t="s">
        <v>226</v>
      </c>
      <c r="B207" s="17" t="s">
        <v>311</v>
      </c>
      <c r="C207" s="2" t="s">
        <v>64</v>
      </c>
      <c r="D207" s="132">
        <f>4*(5.5+4+5.5*2+4*2+2*6+2*1.3+2+2*2.5+2*2+2*39)</f>
        <v>528.4</v>
      </c>
      <c r="F207" s="123">
        <f t="shared" si="25"/>
        <v>0</v>
      </c>
    </row>
    <row r="208" spans="1:6" ht="14.25">
      <c r="A208" s="47" t="s">
        <v>227</v>
      </c>
      <c r="B208" s="17" t="s">
        <v>312</v>
      </c>
      <c r="C208" s="2" t="s">
        <v>64</v>
      </c>
      <c r="D208" s="132">
        <f>4*(5.5+4+5.5*2+4*2+2*6+2*1.3+2+2*2.5+2*2+2*39)</f>
        <v>528.4</v>
      </c>
      <c r="F208" s="123">
        <f t="shared" si="25"/>
        <v>0</v>
      </c>
    </row>
    <row r="209" spans="1:6" ht="14.25">
      <c r="A209" s="47" t="s">
        <v>228</v>
      </c>
      <c r="B209" s="17" t="s">
        <v>313</v>
      </c>
      <c r="C209" s="2" t="s">
        <v>64</v>
      </c>
      <c r="D209" s="132">
        <f>4*(5.5+4+5.5*2+4+4+4)</f>
        <v>130</v>
      </c>
      <c r="F209" s="123">
        <f t="shared" si="25"/>
        <v>0</v>
      </c>
    </row>
    <row r="210" spans="1:6">
      <c r="B210" s="17"/>
      <c r="F210" s="123"/>
    </row>
    <row r="211" spans="1:6" ht="63.75">
      <c r="A211" s="47" t="s">
        <v>57</v>
      </c>
      <c r="B211" s="16" t="s">
        <v>37</v>
      </c>
      <c r="F211" s="123"/>
    </row>
    <row r="212" spans="1:6" ht="14.25">
      <c r="A212" s="47" t="s">
        <v>238</v>
      </c>
      <c r="B212" s="17" t="s">
        <v>308</v>
      </c>
      <c r="C212" s="2" t="s">
        <v>64</v>
      </c>
      <c r="D212" s="132">
        <f>14.5*21</f>
        <v>304.5</v>
      </c>
      <c r="F212" s="123">
        <f t="shared" ref="F212:F217" si="26">SUM(D212*E212)</f>
        <v>0</v>
      </c>
    </row>
    <row r="213" spans="1:6" ht="14.25">
      <c r="A213" s="47" t="s">
        <v>239</v>
      </c>
      <c r="B213" s="17" t="s">
        <v>309</v>
      </c>
      <c r="C213" s="2" t="s">
        <v>64</v>
      </c>
      <c r="D213" s="132">
        <f>14.5*18</f>
        <v>261</v>
      </c>
      <c r="F213" s="123">
        <f t="shared" si="26"/>
        <v>0</v>
      </c>
    </row>
    <row r="214" spans="1:6" ht="14.25">
      <c r="A214" s="47" t="s">
        <v>240</v>
      </c>
      <c r="B214" s="17" t="s">
        <v>310</v>
      </c>
      <c r="C214" s="2" t="s">
        <v>64</v>
      </c>
      <c r="D214" s="132">
        <f>4*(5.5+4+5.5*2+4*2+2*6+2*1.3+2+2*2.5+2*2+2*39)</f>
        <v>528.4</v>
      </c>
      <c r="F214" s="123">
        <f t="shared" si="26"/>
        <v>0</v>
      </c>
    </row>
    <row r="215" spans="1:6" ht="14.25">
      <c r="A215" s="47" t="s">
        <v>314</v>
      </c>
      <c r="B215" s="17" t="s">
        <v>311</v>
      </c>
      <c r="C215" s="2" t="s">
        <v>64</v>
      </c>
      <c r="D215" s="132">
        <f>4*(5.5+4+5.5*2+4*2+2*6+2*1.3+2+2*2.5+2*2+2*39)</f>
        <v>528.4</v>
      </c>
      <c r="F215" s="123">
        <f t="shared" si="26"/>
        <v>0</v>
      </c>
    </row>
    <row r="216" spans="1:6" ht="14.25">
      <c r="A216" s="47" t="s">
        <v>315</v>
      </c>
      <c r="B216" s="17" t="s">
        <v>312</v>
      </c>
      <c r="C216" s="2" t="s">
        <v>64</v>
      </c>
      <c r="D216" s="132">
        <f>4*(5.5+4+5.5*2+4*2+2*6+2*1.3+2+2*2.5+2*2+2*39)</f>
        <v>528.4</v>
      </c>
      <c r="F216" s="123">
        <f t="shared" si="26"/>
        <v>0</v>
      </c>
    </row>
    <row r="217" spans="1:6" ht="14.25">
      <c r="A217" s="47" t="s">
        <v>316</v>
      </c>
      <c r="B217" s="17" t="s">
        <v>313</v>
      </c>
      <c r="C217" s="2" t="s">
        <v>64</v>
      </c>
      <c r="D217" s="132">
        <f>4*(5.5+4+5.5*2+4+4+4)</f>
        <v>130</v>
      </c>
      <c r="F217" s="123">
        <f t="shared" si="26"/>
        <v>0</v>
      </c>
    </row>
    <row r="218" spans="1:6">
      <c r="B218" s="17"/>
      <c r="F218" s="123"/>
    </row>
    <row r="219" spans="1:6" ht="25.5">
      <c r="B219" s="18" t="s">
        <v>111</v>
      </c>
      <c r="F219" s="123"/>
    </row>
    <row r="220" spans="1:6" ht="153">
      <c r="A220" s="47" t="s">
        <v>58</v>
      </c>
      <c r="B220" s="25" t="s">
        <v>181</v>
      </c>
      <c r="C220" s="104"/>
      <c r="D220" s="142"/>
      <c r="E220" s="143"/>
      <c r="F220" s="144"/>
    </row>
    <row r="221" spans="1:6">
      <c r="B221" s="18" t="s">
        <v>317</v>
      </c>
      <c r="C221" s="104"/>
      <c r="D221" s="142"/>
      <c r="E221" s="143"/>
      <c r="F221" s="144"/>
    </row>
    <row r="222" spans="1:6" ht="14.25">
      <c r="A222" s="47" t="s">
        <v>171</v>
      </c>
      <c r="B222" s="17" t="s">
        <v>318</v>
      </c>
      <c r="C222" s="2" t="s">
        <v>64</v>
      </c>
      <c r="D222" s="145">
        <v>260</v>
      </c>
      <c r="F222" s="123">
        <f t="shared" ref="F222:F224" si="27">SUM(D222*E222)</f>
        <v>0</v>
      </c>
    </row>
    <row r="223" spans="1:6" ht="14.25">
      <c r="A223" s="47" t="s">
        <v>172</v>
      </c>
      <c r="B223" s="17" t="s">
        <v>69</v>
      </c>
      <c r="C223" s="2" t="s">
        <v>64</v>
      </c>
      <c r="D223" s="145">
        <v>260</v>
      </c>
      <c r="E223" s="143"/>
      <c r="F223" s="123">
        <f t="shared" si="27"/>
        <v>0</v>
      </c>
    </row>
    <row r="224" spans="1:6" ht="14.25">
      <c r="B224" s="19" t="s">
        <v>162</v>
      </c>
      <c r="C224" s="2" t="s">
        <v>67</v>
      </c>
      <c r="D224" s="132">
        <f>0.024*D222*1.3+0.024*D223*1.3</f>
        <v>16.224</v>
      </c>
      <c r="F224" s="123">
        <f t="shared" si="27"/>
        <v>0</v>
      </c>
    </row>
    <row r="225" spans="1:7">
      <c r="B225" s="17"/>
      <c r="D225" s="145"/>
      <c r="F225" s="144"/>
    </row>
    <row r="226" spans="1:7">
      <c r="B226" s="19" t="s">
        <v>112</v>
      </c>
      <c r="D226" s="145"/>
      <c r="F226" s="144"/>
    </row>
    <row r="227" spans="1:7" ht="14.25">
      <c r="A227" s="47" t="s">
        <v>173</v>
      </c>
      <c r="B227" s="17" t="s">
        <v>319</v>
      </c>
      <c r="C227" s="2" t="s">
        <v>67</v>
      </c>
      <c r="D227" s="145">
        <f>D228*0.15</f>
        <v>39</v>
      </c>
      <c r="F227" s="123">
        <f t="shared" ref="F227:F229" si="28">SUM(D227*E227)</f>
        <v>0</v>
      </c>
    </row>
    <row r="228" spans="1:7" ht="14.25">
      <c r="A228" s="47" t="s">
        <v>174</v>
      </c>
      <c r="B228" s="17" t="s">
        <v>69</v>
      </c>
      <c r="C228" s="2" t="s">
        <v>64</v>
      </c>
      <c r="D228" s="145">
        <v>260</v>
      </c>
      <c r="E228" s="143"/>
      <c r="F228" s="123">
        <f t="shared" si="28"/>
        <v>0</v>
      </c>
    </row>
    <row r="229" spans="1:7" ht="14.25">
      <c r="B229" s="19" t="s">
        <v>162</v>
      </c>
      <c r="C229" s="2" t="s">
        <v>67</v>
      </c>
      <c r="D229" s="132">
        <f>D227*1.3+0.024*D228*1.3</f>
        <v>58.812000000000005</v>
      </c>
      <c r="F229" s="123">
        <f t="shared" si="28"/>
        <v>0</v>
      </c>
    </row>
    <row r="230" spans="1:7">
      <c r="B230" s="20"/>
      <c r="C230" s="104"/>
      <c r="D230" s="145"/>
      <c r="E230" s="143"/>
      <c r="F230" s="144"/>
    </row>
    <row r="231" spans="1:7" ht="102">
      <c r="A231" s="47" t="s">
        <v>59</v>
      </c>
      <c r="B231" s="25" t="s">
        <v>68</v>
      </c>
      <c r="C231" s="104"/>
      <c r="D231" s="142"/>
      <c r="E231" s="143"/>
      <c r="F231" s="144"/>
    </row>
    <row r="232" spans="1:7" ht="14.25">
      <c r="A232" s="47" t="s">
        <v>175</v>
      </c>
      <c r="B232" s="18" t="s">
        <v>317</v>
      </c>
      <c r="C232" s="2" t="s">
        <v>67</v>
      </c>
      <c r="D232" s="142">
        <f>0.2*D223</f>
        <v>52</v>
      </c>
      <c r="E232" s="143"/>
      <c r="F232" s="123">
        <f t="shared" ref="F232:F233" si="29">SUM(D232*E232)</f>
        <v>0</v>
      </c>
    </row>
    <row r="233" spans="1:7" ht="14.25">
      <c r="A233" s="47" t="s">
        <v>177</v>
      </c>
      <c r="B233" s="19" t="s">
        <v>112</v>
      </c>
      <c r="C233" s="2" t="s">
        <v>67</v>
      </c>
      <c r="D233" s="142">
        <f>0.2*D228</f>
        <v>52</v>
      </c>
      <c r="E233" s="143"/>
      <c r="F233" s="123">
        <f t="shared" si="29"/>
        <v>0</v>
      </c>
    </row>
    <row r="235" spans="1:7" ht="27" customHeight="1">
      <c r="B235" s="19" t="s">
        <v>320</v>
      </c>
      <c r="F235" s="123"/>
    </row>
    <row r="236" spans="1:7" ht="89.25">
      <c r="A236" s="47" t="s">
        <v>60</v>
      </c>
      <c r="B236" s="31" t="s">
        <v>322</v>
      </c>
      <c r="F236" s="123"/>
    </row>
    <row r="237" spans="1:7" ht="14.25">
      <c r="A237" s="47" t="s">
        <v>178</v>
      </c>
      <c r="B237" s="31" t="s">
        <v>321</v>
      </c>
      <c r="C237" s="2" t="s">
        <v>67</v>
      </c>
      <c r="D237" s="142">
        <f>0.16*15*4</f>
        <v>9.6</v>
      </c>
      <c r="E237" s="143"/>
      <c r="F237" s="123">
        <f t="shared" ref="F237:F238" si="30">SUM(D237*E237)</f>
        <v>0</v>
      </c>
    </row>
    <row r="238" spans="1:7" ht="14.25">
      <c r="B238" s="19" t="s">
        <v>162</v>
      </c>
      <c r="C238" s="2" t="s">
        <v>67</v>
      </c>
      <c r="D238" s="132">
        <f>D237*1.3</f>
        <v>12.48</v>
      </c>
      <c r="F238" s="123">
        <f t="shared" si="30"/>
        <v>0</v>
      </c>
    </row>
    <row r="239" spans="1:7">
      <c r="B239" s="31"/>
      <c r="D239" s="133"/>
      <c r="F239" s="123"/>
    </row>
    <row r="240" spans="1:7">
      <c r="A240" s="47" t="s">
        <v>179</v>
      </c>
      <c r="B240" s="31" t="s">
        <v>323</v>
      </c>
      <c r="C240" s="2" t="s">
        <v>190</v>
      </c>
      <c r="D240" s="133">
        <v>50</v>
      </c>
      <c r="F240" s="123">
        <f t="shared" ref="F240:F241" si="31">SUM(D240*E240)</f>
        <v>0</v>
      </c>
      <c r="G240" s="279">
        <f>9*2.5+5*2*3.6</f>
        <v>58.5</v>
      </c>
    </row>
    <row r="241" spans="1:6" ht="14.25">
      <c r="B241" s="19" t="s">
        <v>186</v>
      </c>
      <c r="C241" s="2" t="s">
        <v>67</v>
      </c>
      <c r="D241" s="133">
        <f>D240*0.003</f>
        <v>0.15</v>
      </c>
      <c r="F241" s="123">
        <f t="shared" si="31"/>
        <v>0</v>
      </c>
    </row>
    <row r="242" spans="1:6">
      <c r="B242" s="31"/>
      <c r="D242" s="133"/>
      <c r="F242" s="123"/>
    </row>
    <row r="243" spans="1:6" ht="165.75">
      <c r="A243" s="47" t="s">
        <v>61</v>
      </c>
      <c r="B243" s="16" t="s">
        <v>404</v>
      </c>
      <c r="D243" s="133"/>
      <c r="F243" s="123"/>
    </row>
    <row r="244" spans="1:6" ht="14.25">
      <c r="B244" s="31" t="s">
        <v>405</v>
      </c>
      <c r="C244" s="2" t="s">
        <v>67</v>
      </c>
      <c r="D244" s="142">
        <f>0.35*20</f>
        <v>7</v>
      </c>
      <c r="E244" s="143"/>
      <c r="F244" s="123">
        <f t="shared" ref="F244:F245" si="32">SUM(D244*E244)</f>
        <v>0</v>
      </c>
    </row>
    <row r="245" spans="1:6" ht="14.25">
      <c r="B245" s="19" t="s">
        <v>162</v>
      </c>
      <c r="C245" s="2" t="s">
        <v>67</v>
      </c>
      <c r="D245" s="132">
        <f>D244*1.3</f>
        <v>9.1</v>
      </c>
      <c r="F245" s="123">
        <f t="shared" si="32"/>
        <v>0</v>
      </c>
    </row>
    <row r="246" spans="1:6">
      <c r="B246" s="31"/>
      <c r="D246" s="133"/>
      <c r="F246" s="123"/>
    </row>
    <row r="247" spans="1:6">
      <c r="B247" s="31"/>
      <c r="D247" s="133"/>
      <c r="F247" s="123"/>
    </row>
    <row r="248" spans="1:6">
      <c r="B248" s="31"/>
      <c r="D248" s="133"/>
      <c r="F248" s="123"/>
    </row>
    <row r="249" spans="1:6">
      <c r="B249" s="31"/>
      <c r="D249" s="133"/>
      <c r="F249" s="123"/>
    </row>
    <row r="250" spans="1:6">
      <c r="B250" s="31"/>
      <c r="D250" s="133"/>
      <c r="F250" s="123"/>
    </row>
    <row r="251" spans="1:6">
      <c r="B251" s="31"/>
      <c r="D251" s="133"/>
      <c r="F251" s="123"/>
    </row>
    <row r="252" spans="1:6">
      <c r="B252" s="31"/>
      <c r="D252" s="133"/>
      <c r="F252" s="123"/>
    </row>
    <row r="253" spans="1:6" ht="25.5">
      <c r="B253" s="18" t="s">
        <v>505</v>
      </c>
      <c r="D253" s="133"/>
      <c r="F253" s="123"/>
    </row>
    <row r="254" spans="1:6" ht="114.75">
      <c r="A254" s="47" t="s">
        <v>62</v>
      </c>
      <c r="B254" s="16" t="s">
        <v>507</v>
      </c>
      <c r="D254" s="133"/>
      <c r="F254" s="123"/>
    </row>
    <row r="255" spans="1:6" ht="14.25">
      <c r="A255" s="47" t="s">
        <v>176</v>
      </c>
      <c r="B255" s="16" t="s">
        <v>509</v>
      </c>
      <c r="C255" s="2" t="s">
        <v>67</v>
      </c>
      <c r="D255" s="142">
        <f>0.7*150</f>
        <v>105</v>
      </c>
      <c r="E255" s="143"/>
      <c r="F255" s="123">
        <f t="shared" ref="F255:F258" si="33">SUM(D255*E255)</f>
        <v>0</v>
      </c>
    </row>
    <row r="256" spans="1:6" ht="14.25">
      <c r="A256" s="47" t="s">
        <v>180</v>
      </c>
      <c r="B256" s="31" t="s">
        <v>508</v>
      </c>
      <c r="C256" s="2" t="s">
        <v>67</v>
      </c>
      <c r="D256" s="142">
        <f>0.7*18</f>
        <v>12.6</v>
      </c>
      <c r="E256" s="143"/>
      <c r="F256" s="123">
        <f t="shared" si="33"/>
        <v>0</v>
      </c>
    </row>
    <row r="257" spans="1:10" ht="25.5">
      <c r="A257" s="47" t="s">
        <v>361</v>
      </c>
      <c r="B257" s="31" t="s">
        <v>506</v>
      </c>
      <c r="C257" s="7" t="s">
        <v>67</v>
      </c>
      <c r="D257" s="37">
        <f>(6.12+3.92)*0.7</f>
        <v>7.0279999999999987</v>
      </c>
      <c r="E257" s="256"/>
      <c r="F257" s="123">
        <f t="shared" si="33"/>
        <v>0</v>
      </c>
    </row>
    <row r="258" spans="1:10" ht="14.25">
      <c r="B258" s="19" t="s">
        <v>162</v>
      </c>
      <c r="C258" s="2" t="s">
        <v>67</v>
      </c>
      <c r="D258" s="132">
        <f>(D255+D256+D257)*1.3</f>
        <v>162.01639999999998</v>
      </c>
      <c r="F258" s="123">
        <f t="shared" si="33"/>
        <v>0</v>
      </c>
    </row>
    <row r="259" spans="1:10">
      <c r="B259" s="18"/>
      <c r="D259" s="133"/>
      <c r="F259" s="123"/>
    </row>
    <row r="260" spans="1:10" ht="54.75" customHeight="1">
      <c r="A260" s="47" t="s">
        <v>63</v>
      </c>
      <c r="B260" s="238" t="s">
        <v>486</v>
      </c>
      <c r="C260" s="7" t="s">
        <v>28</v>
      </c>
      <c r="D260" s="34">
        <v>1</v>
      </c>
      <c r="E260" s="35"/>
      <c r="F260" s="123">
        <f>SUM(D260*E260)</f>
        <v>0</v>
      </c>
    </row>
    <row r="261" spans="1:10">
      <c r="B261" s="18"/>
      <c r="D261" s="133"/>
      <c r="F261" s="123"/>
    </row>
    <row r="262" spans="1:10" s="4" customFormat="1" ht="65.25">
      <c r="A262" s="242" t="s">
        <v>79</v>
      </c>
      <c r="B262" s="239" t="s">
        <v>488</v>
      </c>
      <c r="C262" s="240" t="s">
        <v>487</v>
      </c>
      <c r="D262" s="244">
        <v>32.770000000000003</v>
      </c>
      <c r="E262" s="245"/>
      <c r="F262" s="123">
        <f>SUM(D262*E262)</f>
        <v>0</v>
      </c>
      <c r="G262" s="279"/>
      <c r="H262" s="279"/>
      <c r="I262" s="293"/>
      <c r="J262" s="272"/>
    </row>
    <row r="263" spans="1:10" s="4" customFormat="1">
      <c r="A263" s="47"/>
      <c r="B263" s="18"/>
      <c r="C263" s="2"/>
      <c r="D263" s="133"/>
      <c r="E263" s="133"/>
      <c r="F263" s="123"/>
      <c r="G263" s="279"/>
      <c r="H263" s="279"/>
      <c r="I263" s="293"/>
      <c r="J263" s="272"/>
    </row>
    <row r="264" spans="1:10" s="4" customFormat="1" ht="38.25">
      <c r="A264" s="242" t="s">
        <v>80</v>
      </c>
      <c r="B264" s="239" t="s">
        <v>489</v>
      </c>
      <c r="C264" s="240" t="s">
        <v>490</v>
      </c>
      <c r="D264" s="243">
        <v>100</v>
      </c>
      <c r="E264" s="35"/>
      <c r="F264" s="123">
        <f>SUM(D264*E264)</f>
        <v>0</v>
      </c>
      <c r="G264" s="279"/>
      <c r="H264" s="279"/>
      <c r="I264" s="293"/>
      <c r="J264" s="272"/>
    </row>
    <row r="265" spans="1:10" s="4" customFormat="1">
      <c r="A265" s="242"/>
      <c r="B265" s="239"/>
      <c r="C265" s="240"/>
      <c r="D265" s="243"/>
      <c r="E265" s="35"/>
      <c r="F265" s="8"/>
      <c r="G265" s="279"/>
      <c r="H265" s="279"/>
      <c r="I265" s="293"/>
      <c r="J265" s="272"/>
    </row>
    <row r="266" spans="1:10" s="4" customFormat="1" ht="25.5">
      <c r="A266" s="242" t="s">
        <v>82</v>
      </c>
      <c r="B266" s="239" t="s">
        <v>491</v>
      </c>
      <c r="C266" s="240" t="s">
        <v>14</v>
      </c>
      <c r="D266" s="243">
        <v>47</v>
      </c>
      <c r="E266" s="35"/>
      <c r="F266" s="123">
        <f>SUM(D266*E266)</f>
        <v>0</v>
      </c>
      <c r="G266" s="283">
        <f>F260+F262+F264+F266</f>
        <v>0</v>
      </c>
      <c r="H266" s="279">
        <f>G266/7.354</f>
        <v>0</v>
      </c>
      <c r="I266" s="293"/>
      <c r="J266" s="272"/>
    </row>
    <row r="267" spans="1:10" s="4" customFormat="1">
      <c r="A267" s="242"/>
      <c r="B267" s="239"/>
      <c r="C267" s="240"/>
      <c r="D267" s="241"/>
      <c r="E267" s="133"/>
      <c r="F267" s="123"/>
      <c r="G267" s="279"/>
      <c r="H267" s="279"/>
      <c r="I267" s="293"/>
      <c r="J267" s="272"/>
    </row>
    <row r="268" spans="1:10" s="4" customFormat="1">
      <c r="A268" s="242"/>
      <c r="B268" s="239"/>
      <c r="C268" s="240"/>
      <c r="D268" s="241"/>
      <c r="E268" s="133"/>
      <c r="F268" s="123"/>
      <c r="G268" s="279"/>
      <c r="H268" s="279"/>
      <c r="I268" s="293"/>
      <c r="J268" s="272"/>
    </row>
    <row r="269" spans="1:10">
      <c r="B269" s="16"/>
      <c r="F269" s="123"/>
    </row>
    <row r="270" spans="1:10">
      <c r="A270" s="55"/>
      <c r="B270" s="303" t="s">
        <v>22</v>
      </c>
      <c r="C270" s="304"/>
      <c r="D270" s="146"/>
      <c r="E270" s="147"/>
      <c r="F270" s="148">
        <f>SUM(F13:F266)</f>
        <v>0</v>
      </c>
    </row>
    <row r="271" spans="1:10">
      <c r="B271" s="16"/>
      <c r="F271" s="123"/>
    </row>
    <row r="272" spans="1:10">
      <c r="B272" s="16"/>
      <c r="F272" s="123"/>
    </row>
    <row r="273" spans="1:6">
      <c r="B273" s="16"/>
      <c r="F273" s="123"/>
    </row>
    <row r="274" spans="1:6">
      <c r="B274" s="16"/>
      <c r="F274" s="123"/>
    </row>
    <row r="275" spans="1:6">
      <c r="B275" s="16"/>
      <c r="F275" s="123"/>
    </row>
    <row r="276" spans="1:6">
      <c r="B276" s="16"/>
      <c r="F276" s="123"/>
    </row>
    <row r="277" spans="1:6">
      <c r="B277" s="16"/>
      <c r="F277" s="123"/>
    </row>
    <row r="278" spans="1:6">
      <c r="B278" s="16"/>
      <c r="F278" s="123"/>
    </row>
    <row r="279" spans="1:6">
      <c r="B279" s="16"/>
      <c r="F279" s="123"/>
    </row>
    <row r="280" spans="1:6">
      <c r="B280" s="16"/>
      <c r="F280" s="123"/>
    </row>
    <row r="281" spans="1:6">
      <c r="B281" s="16"/>
      <c r="F281" s="123"/>
    </row>
    <row r="282" spans="1:6">
      <c r="B282" s="16"/>
      <c r="F282" s="123"/>
    </row>
    <row r="283" spans="1:6">
      <c r="A283" s="106" t="s">
        <v>7</v>
      </c>
      <c r="B283" s="21" t="s">
        <v>23</v>
      </c>
      <c r="C283" s="102" t="s">
        <v>32</v>
      </c>
      <c r="D283" s="135" t="s">
        <v>0</v>
      </c>
      <c r="E283" s="136" t="s">
        <v>31</v>
      </c>
      <c r="F283" s="137" t="s">
        <v>1</v>
      </c>
    </row>
    <row r="284" spans="1:6">
      <c r="B284" s="16"/>
      <c r="F284" s="123"/>
    </row>
    <row r="285" spans="1:6" ht="63.75">
      <c r="A285" s="47" t="s">
        <v>2</v>
      </c>
      <c r="B285" s="16" t="s">
        <v>43</v>
      </c>
      <c r="F285" s="123"/>
    </row>
    <row r="286" spans="1:6">
      <c r="B286" s="17"/>
      <c r="C286" s="2" t="s">
        <v>28</v>
      </c>
      <c r="D286" s="133">
        <v>1</v>
      </c>
      <c r="F286" s="123">
        <f>SUM(D286*E286)</f>
        <v>0</v>
      </c>
    </row>
    <row r="287" spans="1:6">
      <c r="B287" s="16"/>
      <c r="F287" s="123"/>
    </row>
    <row r="288" spans="1:6" ht="403.5" customHeight="1">
      <c r="A288" s="47" t="s">
        <v>3</v>
      </c>
      <c r="B288" s="16" t="s">
        <v>198</v>
      </c>
      <c r="F288" s="123"/>
    </row>
    <row r="289" spans="1:6" ht="14.25">
      <c r="B289" s="17" t="s">
        <v>325</v>
      </c>
      <c r="C289" s="2" t="s">
        <v>64</v>
      </c>
      <c r="D289" s="149">
        <f>15*21</f>
        <v>315</v>
      </c>
      <c r="F289" s="123">
        <f t="shared" ref="F289:F297" si="34">SUM(D289*E289)</f>
        <v>0</v>
      </c>
    </row>
    <row r="290" spans="1:6" ht="14.25">
      <c r="B290" s="17" t="s">
        <v>325</v>
      </c>
      <c r="C290" s="2" t="s">
        <v>64</v>
      </c>
      <c r="D290" s="149">
        <f>15*18</f>
        <v>270</v>
      </c>
      <c r="F290" s="123">
        <f t="shared" si="34"/>
        <v>0</v>
      </c>
    </row>
    <row r="291" spans="1:6" ht="14.25">
      <c r="B291" s="17" t="s">
        <v>326</v>
      </c>
      <c r="C291" s="2" t="s">
        <v>64</v>
      </c>
      <c r="D291" s="149">
        <f>11*21</f>
        <v>231</v>
      </c>
      <c r="F291" s="123">
        <f t="shared" si="34"/>
        <v>0</v>
      </c>
    </row>
    <row r="292" spans="1:6" ht="14.25">
      <c r="B292" s="17" t="s">
        <v>327</v>
      </c>
      <c r="C292" s="2" t="s">
        <v>64</v>
      </c>
      <c r="D292" s="149">
        <f>22*5</f>
        <v>110</v>
      </c>
      <c r="F292" s="123">
        <f t="shared" si="34"/>
        <v>0</v>
      </c>
    </row>
    <row r="293" spans="1:6" ht="14.25">
      <c r="B293" s="17" t="s">
        <v>328</v>
      </c>
      <c r="C293" s="2" t="s">
        <v>64</v>
      </c>
      <c r="D293" s="149">
        <f>22*3</f>
        <v>66</v>
      </c>
      <c r="F293" s="123">
        <f t="shared" si="34"/>
        <v>0</v>
      </c>
    </row>
    <row r="294" spans="1:6" ht="14.25">
      <c r="B294" s="17" t="s">
        <v>329</v>
      </c>
      <c r="C294" s="2" t="s">
        <v>64</v>
      </c>
      <c r="D294" s="149">
        <f>22*5</f>
        <v>110</v>
      </c>
      <c r="F294" s="123">
        <f t="shared" si="34"/>
        <v>0</v>
      </c>
    </row>
    <row r="295" spans="1:6" ht="14.25">
      <c r="B295" s="17" t="s">
        <v>330</v>
      </c>
      <c r="C295" s="2" t="s">
        <v>64</v>
      </c>
      <c r="D295" s="149">
        <f>18*6.2</f>
        <v>111.60000000000001</v>
      </c>
      <c r="F295" s="123">
        <f t="shared" si="34"/>
        <v>0</v>
      </c>
    </row>
    <row r="296" spans="1:6" ht="14.25">
      <c r="B296" s="17" t="s">
        <v>331</v>
      </c>
      <c r="C296" s="2" t="s">
        <v>64</v>
      </c>
      <c r="D296" s="149">
        <f>18*6.2</f>
        <v>111.60000000000001</v>
      </c>
      <c r="F296" s="123">
        <f t="shared" si="34"/>
        <v>0</v>
      </c>
    </row>
    <row r="297" spans="1:6" ht="14.25">
      <c r="B297" s="19" t="s">
        <v>65</v>
      </c>
      <c r="C297" s="103" t="s">
        <v>66</v>
      </c>
      <c r="D297" s="141">
        <f>SUM(D289:D296)</f>
        <v>1325.1999999999998</v>
      </c>
      <c r="F297" s="123">
        <f t="shared" si="34"/>
        <v>0</v>
      </c>
    </row>
    <row r="298" spans="1:6">
      <c r="B298" s="19"/>
      <c r="C298" s="103"/>
      <c r="D298" s="141"/>
      <c r="F298" s="123"/>
    </row>
    <row r="299" spans="1:6" ht="44.25" customHeight="1">
      <c r="A299" s="47" t="s">
        <v>4</v>
      </c>
      <c r="B299" s="31" t="s">
        <v>196</v>
      </c>
      <c r="D299" s="150"/>
      <c r="F299" s="123"/>
    </row>
    <row r="300" spans="1:6" ht="25.5">
      <c r="B300" s="151" t="s">
        <v>197</v>
      </c>
      <c r="C300" s="2" t="s">
        <v>64</v>
      </c>
      <c r="D300" s="150">
        <f>4*5*2.5</f>
        <v>50</v>
      </c>
      <c r="F300" s="123">
        <f>SUM(D300*E300)</f>
        <v>0</v>
      </c>
    </row>
    <row r="301" spans="1:6">
      <c r="B301" s="19"/>
      <c r="C301" s="103"/>
      <c r="D301" s="141"/>
      <c r="F301" s="123"/>
    </row>
    <row r="303" spans="1:6">
      <c r="A303" s="55"/>
      <c r="B303" s="22" t="s">
        <v>25</v>
      </c>
      <c r="C303" s="152"/>
      <c r="D303" s="146"/>
      <c r="E303" s="147"/>
      <c r="F303" s="153">
        <f>SUM(F285:F300)</f>
        <v>0</v>
      </c>
    </row>
    <row r="304" spans="1:6">
      <c r="B304" s="18"/>
      <c r="F304" s="154"/>
    </row>
    <row r="305" spans="2:6">
      <c r="B305" s="18"/>
      <c r="F305" s="154"/>
    </row>
    <row r="306" spans="2:6">
      <c r="B306" s="18"/>
      <c r="F306" s="154"/>
    </row>
    <row r="307" spans="2:6">
      <c r="B307" s="18"/>
      <c r="F307" s="154"/>
    </row>
    <row r="308" spans="2:6">
      <c r="B308" s="18"/>
      <c r="F308" s="154"/>
    </row>
    <row r="309" spans="2:6">
      <c r="B309" s="18"/>
      <c r="F309" s="154"/>
    </row>
    <row r="310" spans="2:6">
      <c r="B310" s="18"/>
      <c r="F310" s="154"/>
    </row>
    <row r="311" spans="2:6">
      <c r="B311" s="18"/>
      <c r="F311" s="154"/>
    </row>
    <row r="312" spans="2:6">
      <c r="B312" s="18"/>
      <c r="F312" s="154"/>
    </row>
    <row r="313" spans="2:6">
      <c r="B313" s="18"/>
      <c r="F313" s="154"/>
    </row>
    <row r="314" spans="2:6">
      <c r="B314" s="18"/>
      <c r="F314" s="154"/>
    </row>
    <row r="315" spans="2:6">
      <c r="B315" s="18"/>
      <c r="F315" s="154"/>
    </row>
    <row r="316" spans="2:6">
      <c r="B316" s="18"/>
      <c r="F316" s="154"/>
    </row>
    <row r="317" spans="2:6">
      <c r="B317" s="18"/>
      <c r="F317" s="154"/>
    </row>
    <row r="318" spans="2:6">
      <c r="B318" s="18"/>
      <c r="F318" s="154"/>
    </row>
    <row r="319" spans="2:6">
      <c r="B319" s="18"/>
      <c r="F319" s="154"/>
    </row>
    <row r="320" spans="2:6">
      <c r="B320" s="18"/>
      <c r="F320" s="154"/>
    </row>
    <row r="321" spans="2:6">
      <c r="B321" s="18"/>
      <c r="F321" s="154"/>
    </row>
    <row r="322" spans="2:6">
      <c r="B322" s="18"/>
      <c r="F322" s="154"/>
    </row>
    <row r="323" spans="2:6">
      <c r="B323" s="18"/>
      <c r="F323" s="154"/>
    </row>
    <row r="324" spans="2:6">
      <c r="B324" s="18"/>
      <c r="F324" s="154"/>
    </row>
    <row r="325" spans="2:6">
      <c r="B325" s="18"/>
      <c r="F325" s="154"/>
    </row>
    <row r="326" spans="2:6">
      <c r="B326" s="18"/>
      <c r="F326" s="154"/>
    </row>
    <row r="327" spans="2:6">
      <c r="B327" s="18"/>
      <c r="F327" s="154"/>
    </row>
    <row r="328" spans="2:6">
      <c r="B328" s="18"/>
      <c r="F328" s="154"/>
    </row>
    <row r="329" spans="2:6">
      <c r="B329" s="18"/>
      <c r="F329" s="154"/>
    </row>
    <row r="330" spans="2:6">
      <c r="B330" s="18"/>
      <c r="F330" s="154"/>
    </row>
    <row r="331" spans="2:6">
      <c r="B331" s="18"/>
      <c r="F331" s="154"/>
    </row>
    <row r="332" spans="2:6">
      <c r="B332" s="18"/>
      <c r="F332" s="154"/>
    </row>
    <row r="333" spans="2:6">
      <c r="B333" s="18"/>
      <c r="F333" s="154"/>
    </row>
    <row r="334" spans="2:6">
      <c r="B334" s="18"/>
      <c r="F334" s="154"/>
    </row>
    <row r="335" spans="2:6">
      <c r="B335" s="18"/>
      <c r="F335" s="154"/>
    </row>
    <row r="336" spans="2:6">
      <c r="B336" s="18"/>
      <c r="F336" s="154"/>
    </row>
    <row r="337" spans="1:6">
      <c r="B337" s="18"/>
      <c r="F337" s="154"/>
    </row>
    <row r="338" spans="1:6">
      <c r="B338" s="18"/>
      <c r="F338" s="154"/>
    </row>
    <row r="339" spans="1:6">
      <c r="B339" s="18"/>
      <c r="F339" s="154"/>
    </row>
    <row r="340" spans="1:6">
      <c r="B340" s="18"/>
      <c r="F340" s="154"/>
    </row>
    <row r="341" spans="1:6">
      <c r="B341" s="18"/>
      <c r="F341" s="154"/>
    </row>
    <row r="342" spans="1:6">
      <c r="B342" s="18"/>
      <c r="F342" s="154"/>
    </row>
    <row r="343" spans="1:6">
      <c r="B343" s="18"/>
      <c r="F343" s="154"/>
    </row>
    <row r="344" spans="1:6">
      <c r="B344" s="18"/>
      <c r="F344" s="154"/>
    </row>
    <row r="345" spans="1:6">
      <c r="B345" s="18"/>
      <c r="F345" s="154"/>
    </row>
    <row r="346" spans="1:6">
      <c r="A346" s="106" t="s">
        <v>10</v>
      </c>
      <c r="B346" s="21" t="s">
        <v>229</v>
      </c>
      <c r="C346" s="102" t="s">
        <v>32</v>
      </c>
      <c r="D346" s="135" t="s">
        <v>0</v>
      </c>
      <c r="E346" s="136" t="s">
        <v>31</v>
      </c>
      <c r="F346" s="137" t="s">
        <v>1</v>
      </c>
    </row>
    <row r="347" spans="1:6" ht="81.75" customHeight="1">
      <c r="A347" s="97"/>
      <c r="B347" s="18" t="s">
        <v>497</v>
      </c>
      <c r="F347" s="154"/>
    </row>
    <row r="348" spans="1:6" ht="109.5" customHeight="1">
      <c r="A348" s="107" t="s">
        <v>2</v>
      </c>
      <c r="B348" s="246" t="s">
        <v>498</v>
      </c>
      <c r="C348" s="105"/>
      <c r="D348" s="155"/>
      <c r="E348" s="155"/>
      <c r="F348" s="247"/>
    </row>
    <row r="349" spans="1:6" ht="14.25">
      <c r="A349" s="107" t="s">
        <v>114</v>
      </c>
      <c r="B349" s="246" t="s">
        <v>499</v>
      </c>
      <c r="C349" s="105" t="s">
        <v>492</v>
      </c>
      <c r="D349" s="155">
        <f>10*0.7</f>
        <v>7</v>
      </c>
      <c r="F349" s="123">
        <f t="shared" ref="F349:F354" si="35">SUM(D349*E349)</f>
        <v>0</v>
      </c>
    </row>
    <row r="350" spans="1:6" ht="14.25">
      <c r="A350" s="107" t="s">
        <v>115</v>
      </c>
      <c r="B350" s="246" t="s">
        <v>500</v>
      </c>
      <c r="C350" s="105" t="s">
        <v>492</v>
      </c>
      <c r="D350" s="155">
        <f>16*0.7</f>
        <v>11.2</v>
      </c>
      <c r="F350" s="123">
        <f t="shared" si="35"/>
        <v>0</v>
      </c>
    </row>
    <row r="351" spans="1:6" ht="14.25">
      <c r="A351" s="107" t="s">
        <v>116</v>
      </c>
      <c r="B351" s="246" t="s">
        <v>501</v>
      </c>
      <c r="C351" s="105" t="s">
        <v>492</v>
      </c>
      <c r="D351" s="155">
        <f>7*(2*3.45+4.65)</f>
        <v>80.850000000000009</v>
      </c>
      <c r="F351" s="123">
        <f t="shared" si="35"/>
        <v>0</v>
      </c>
    </row>
    <row r="352" spans="1:6" ht="14.25">
      <c r="A352" s="107" t="s">
        <v>117</v>
      </c>
      <c r="B352" s="246" t="s">
        <v>502</v>
      </c>
      <c r="C352" s="105" t="s">
        <v>492</v>
      </c>
      <c r="D352" s="155">
        <f>15*2.5+30*4.7</f>
        <v>178.5</v>
      </c>
      <c r="F352" s="123">
        <f t="shared" si="35"/>
        <v>0</v>
      </c>
    </row>
    <row r="353" spans="1:8" ht="14.25">
      <c r="A353" s="107"/>
      <c r="B353" s="19" t="s">
        <v>65</v>
      </c>
      <c r="C353" s="103" t="s">
        <v>493</v>
      </c>
      <c r="D353" s="141">
        <f>SUM(D349:D352)</f>
        <v>277.55</v>
      </c>
      <c r="F353" s="123">
        <f t="shared" si="35"/>
        <v>0</v>
      </c>
    </row>
    <row r="354" spans="1:8" ht="25.5">
      <c r="A354" s="107"/>
      <c r="B354" s="19" t="s">
        <v>503</v>
      </c>
      <c r="C354" s="2" t="s">
        <v>67</v>
      </c>
      <c r="D354" s="132">
        <f>D352*1.3</f>
        <v>232.05</v>
      </c>
      <c r="F354" s="123">
        <f t="shared" si="35"/>
        <v>0</v>
      </c>
    </row>
    <row r="355" spans="1:8">
      <c r="A355" s="107"/>
      <c r="B355" s="17"/>
    </row>
    <row r="356" spans="1:8" ht="102">
      <c r="A356" s="107" t="s">
        <v>3</v>
      </c>
      <c r="B356" s="248" t="s">
        <v>494</v>
      </c>
      <c r="C356" s="249"/>
      <c r="D356" s="155"/>
      <c r="E356" s="250"/>
      <c r="F356" s="251"/>
    </row>
    <row r="357" spans="1:8" ht="14.25">
      <c r="A357" s="107"/>
      <c r="B357" s="246" t="s">
        <v>504</v>
      </c>
      <c r="C357" s="105" t="s">
        <v>492</v>
      </c>
      <c r="D357" s="155">
        <f>35*0.2</f>
        <v>7</v>
      </c>
      <c r="F357" s="123">
        <f>SUM(D357*E357)</f>
        <v>0</v>
      </c>
      <c r="H357" s="284"/>
    </row>
    <row r="358" spans="1:8">
      <c r="A358" s="107"/>
      <c r="B358" s="246"/>
      <c r="C358" s="105"/>
      <c r="D358" s="155"/>
      <c r="F358" s="123"/>
    </row>
    <row r="359" spans="1:8" ht="51">
      <c r="A359" s="107" t="s">
        <v>4</v>
      </c>
      <c r="B359" s="248" t="s">
        <v>409</v>
      </c>
      <c r="C359" s="249"/>
      <c r="D359" s="155"/>
      <c r="E359" s="250"/>
      <c r="F359" s="251"/>
    </row>
    <row r="360" spans="1:8" ht="14.25">
      <c r="A360" s="107"/>
      <c r="B360" s="246" t="s">
        <v>504</v>
      </c>
      <c r="C360" s="105" t="s">
        <v>495</v>
      </c>
      <c r="D360" s="155">
        <v>35</v>
      </c>
      <c r="F360" s="123">
        <f>SUM(D360*E360)</f>
        <v>0</v>
      </c>
    </row>
    <row r="361" spans="1:8">
      <c r="A361" s="107"/>
      <c r="B361" s="246"/>
      <c r="C361" s="105"/>
      <c r="D361" s="155"/>
      <c r="F361" s="123"/>
    </row>
    <row r="362" spans="1:8">
      <c r="A362" s="107"/>
      <c r="B362" s="246"/>
      <c r="C362" s="105"/>
      <c r="D362" s="155"/>
      <c r="F362" s="123"/>
    </row>
    <row r="363" spans="1:8">
      <c r="A363" s="107"/>
      <c r="B363" s="246"/>
      <c r="C363" s="105"/>
      <c r="D363" s="155"/>
      <c r="F363" s="123"/>
    </row>
    <row r="364" spans="1:8">
      <c r="A364" s="107"/>
      <c r="B364" s="246"/>
      <c r="C364" s="105"/>
      <c r="D364" s="155"/>
      <c r="F364" s="123"/>
    </row>
    <row r="365" spans="1:8">
      <c r="A365" s="107"/>
      <c r="B365" s="246"/>
      <c r="C365" s="105"/>
      <c r="D365" s="155"/>
      <c r="F365" s="123"/>
    </row>
    <row r="366" spans="1:8">
      <c r="A366" s="107"/>
      <c r="B366" s="246"/>
      <c r="C366" s="105"/>
      <c r="D366" s="155"/>
      <c r="F366" s="123"/>
    </row>
    <row r="367" spans="1:8">
      <c r="A367" s="108"/>
      <c r="B367" s="252"/>
      <c r="C367" s="105"/>
      <c r="D367" s="105"/>
      <c r="E367" s="155"/>
      <c r="F367" s="247"/>
    </row>
    <row r="368" spans="1:8">
      <c r="A368" s="108"/>
      <c r="B368" s="252"/>
      <c r="C368" s="105"/>
      <c r="D368" s="105"/>
      <c r="E368" s="155"/>
      <c r="F368" s="247"/>
    </row>
    <row r="369" spans="1:6" ht="76.5">
      <c r="A369" s="107" t="s">
        <v>5</v>
      </c>
      <c r="B369" s="248" t="s">
        <v>496</v>
      </c>
      <c r="C369" s="249"/>
      <c r="D369" s="155"/>
      <c r="E369" s="250"/>
      <c r="F369" s="251"/>
    </row>
    <row r="370" spans="1:6" ht="14.25">
      <c r="A370" s="107" t="s">
        <v>151</v>
      </c>
      <c r="B370" s="246" t="s">
        <v>406</v>
      </c>
      <c r="C370" s="105" t="s">
        <v>492</v>
      </c>
      <c r="D370" s="155">
        <f>D349</f>
        <v>7</v>
      </c>
      <c r="F370" s="123">
        <f t="shared" ref="F370:F372" si="36">SUM(D370*E370)</f>
        <v>0</v>
      </c>
    </row>
    <row r="371" spans="1:6" ht="14.25">
      <c r="A371" s="107" t="s">
        <v>152</v>
      </c>
      <c r="B371" s="246" t="s">
        <v>407</v>
      </c>
      <c r="C371" s="105" t="s">
        <v>492</v>
      </c>
      <c r="D371" s="155">
        <f>D350</f>
        <v>11.2</v>
      </c>
      <c r="F371" s="123">
        <f t="shared" si="36"/>
        <v>0</v>
      </c>
    </row>
    <row r="372" spans="1:6" ht="14.25">
      <c r="A372" s="107" t="s">
        <v>153</v>
      </c>
      <c r="B372" s="246" t="s">
        <v>408</v>
      </c>
      <c r="C372" s="105" t="s">
        <v>492</v>
      </c>
      <c r="D372" s="155">
        <f>D351</f>
        <v>80.850000000000009</v>
      </c>
      <c r="F372" s="123">
        <f t="shared" si="36"/>
        <v>0</v>
      </c>
    </row>
    <row r="373" spans="1:6">
      <c r="A373" s="107"/>
      <c r="B373" s="246"/>
      <c r="C373" s="105"/>
      <c r="D373" s="155"/>
      <c r="F373" s="123"/>
    </row>
    <row r="374" spans="1:6">
      <c r="A374" s="107"/>
      <c r="B374" s="246"/>
      <c r="C374" s="105"/>
      <c r="D374" s="155"/>
      <c r="F374" s="123"/>
    </row>
    <row r="375" spans="1:6">
      <c r="A375" s="109"/>
      <c r="B375" s="253" t="s">
        <v>230</v>
      </c>
      <c r="C375" s="254"/>
      <c r="D375" s="255"/>
      <c r="E375" s="255"/>
      <c r="F375" s="153">
        <f>SUM(F347:F373)</f>
        <v>0</v>
      </c>
    </row>
    <row r="376" spans="1:6">
      <c r="A376" s="107"/>
      <c r="B376" s="48"/>
      <c r="C376" s="105"/>
      <c r="D376" s="155"/>
      <c r="E376" s="155"/>
      <c r="F376" s="154"/>
    </row>
    <row r="377" spans="1:6">
      <c r="A377" s="107"/>
      <c r="B377" s="48"/>
      <c r="C377" s="105"/>
      <c r="D377" s="155"/>
      <c r="E377" s="155"/>
      <c r="F377" s="154"/>
    </row>
    <row r="378" spans="1:6">
      <c r="A378" s="107"/>
      <c r="B378" s="48"/>
      <c r="C378" s="105"/>
      <c r="D378" s="155"/>
      <c r="E378" s="155"/>
      <c r="F378" s="154"/>
    </row>
    <row r="379" spans="1:6">
      <c r="A379" s="107"/>
      <c r="B379" s="48"/>
      <c r="C379" s="105"/>
      <c r="D379" s="155"/>
      <c r="E379" s="155"/>
      <c r="F379" s="154"/>
    </row>
    <row r="380" spans="1:6">
      <c r="A380" s="107"/>
      <c r="B380" s="48"/>
      <c r="C380" s="105"/>
      <c r="D380" s="155"/>
      <c r="E380" s="155"/>
      <c r="F380" s="154"/>
    </row>
    <row r="381" spans="1:6">
      <c r="A381" s="107"/>
      <c r="B381" s="48"/>
      <c r="C381" s="105"/>
      <c r="D381" s="155"/>
      <c r="E381" s="155"/>
      <c r="F381" s="154"/>
    </row>
    <row r="382" spans="1:6">
      <c r="A382" s="107"/>
      <c r="B382" s="48"/>
      <c r="C382" s="105"/>
      <c r="D382" s="155"/>
      <c r="E382" s="155"/>
      <c r="F382" s="154"/>
    </row>
    <row r="383" spans="1:6">
      <c r="A383" s="107"/>
      <c r="B383" s="48"/>
      <c r="C383" s="105"/>
      <c r="D383" s="155"/>
      <c r="E383" s="155"/>
      <c r="F383" s="154"/>
    </row>
    <row r="384" spans="1:6">
      <c r="A384" s="107"/>
      <c r="B384" s="48"/>
      <c r="C384" s="105"/>
      <c r="D384" s="155"/>
      <c r="E384" s="155"/>
      <c r="F384" s="154"/>
    </row>
    <row r="385" spans="1:6">
      <c r="A385" s="107"/>
      <c r="B385" s="48"/>
      <c r="C385" s="105"/>
      <c r="D385" s="155"/>
      <c r="E385" s="155"/>
      <c r="F385" s="154"/>
    </row>
    <row r="386" spans="1:6">
      <c r="A386" s="107"/>
      <c r="B386" s="48"/>
      <c r="C386" s="105"/>
      <c r="D386" s="155"/>
      <c r="E386" s="155"/>
      <c r="F386" s="154"/>
    </row>
    <row r="387" spans="1:6">
      <c r="A387" s="107"/>
      <c r="B387" s="48"/>
      <c r="C387" s="105"/>
      <c r="D387" s="155"/>
      <c r="E387" s="155"/>
      <c r="F387" s="154"/>
    </row>
    <row r="388" spans="1:6">
      <c r="A388" s="107"/>
      <c r="B388" s="48"/>
      <c r="C388" s="105"/>
      <c r="D388" s="155"/>
      <c r="E388" s="155"/>
      <c r="F388" s="154"/>
    </row>
    <row r="389" spans="1:6">
      <c r="A389" s="107"/>
      <c r="B389" s="48"/>
      <c r="C389" s="105"/>
      <c r="D389" s="155"/>
      <c r="E389" s="155"/>
      <c r="F389" s="154"/>
    </row>
    <row r="390" spans="1:6">
      <c r="A390" s="107"/>
      <c r="B390" s="48"/>
      <c r="C390" s="105"/>
      <c r="D390" s="155"/>
      <c r="E390" s="155"/>
      <c r="F390" s="154"/>
    </row>
    <row r="391" spans="1:6">
      <c r="A391" s="107"/>
      <c r="B391" s="48"/>
      <c r="C391" s="105"/>
      <c r="D391" s="155"/>
      <c r="E391" s="155"/>
      <c r="F391" s="154"/>
    </row>
    <row r="392" spans="1:6">
      <c r="A392" s="107"/>
      <c r="B392" s="48"/>
      <c r="C392" s="105"/>
      <c r="D392" s="155"/>
      <c r="E392" s="155"/>
      <c r="F392" s="154"/>
    </row>
    <row r="393" spans="1:6">
      <c r="A393" s="107"/>
      <c r="B393" s="48"/>
      <c r="C393" s="105"/>
      <c r="D393" s="155"/>
      <c r="E393" s="155"/>
      <c r="F393" s="154"/>
    </row>
    <row r="394" spans="1:6">
      <c r="A394" s="107"/>
      <c r="B394" s="48"/>
      <c r="C394" s="105"/>
      <c r="D394" s="155"/>
      <c r="E394" s="155"/>
      <c r="F394" s="154"/>
    </row>
    <row r="395" spans="1:6">
      <c r="A395" s="107"/>
      <c r="B395" s="48"/>
      <c r="C395" s="105"/>
      <c r="D395" s="155"/>
      <c r="E395" s="155"/>
      <c r="F395" s="154"/>
    </row>
    <row r="396" spans="1:6">
      <c r="A396" s="107"/>
      <c r="B396" s="48"/>
      <c r="C396" s="105"/>
      <c r="D396" s="155"/>
      <c r="E396" s="155"/>
      <c r="F396" s="154"/>
    </row>
    <row r="397" spans="1:6">
      <c r="A397" s="107"/>
      <c r="B397" s="48"/>
      <c r="C397" s="105"/>
      <c r="D397" s="155"/>
      <c r="E397" s="155"/>
      <c r="F397" s="154"/>
    </row>
    <row r="398" spans="1:6">
      <c r="A398" s="107"/>
      <c r="B398" s="48"/>
      <c r="C398" s="105"/>
      <c r="D398" s="155"/>
      <c r="E398" s="155"/>
      <c r="F398" s="154"/>
    </row>
    <row r="399" spans="1:6">
      <c r="A399" s="107"/>
      <c r="B399" s="48"/>
      <c r="C399" s="105"/>
      <c r="D399" s="155"/>
      <c r="E399" s="155"/>
      <c r="F399" s="154"/>
    </row>
    <row r="400" spans="1:6">
      <c r="A400" s="107"/>
      <c r="B400" s="48"/>
      <c r="C400" s="105"/>
      <c r="D400" s="155"/>
      <c r="E400" s="155"/>
      <c r="F400" s="154"/>
    </row>
    <row r="401" spans="1:6">
      <c r="A401" s="107"/>
      <c r="B401" s="48"/>
      <c r="C401" s="105"/>
      <c r="D401" s="155"/>
      <c r="E401" s="155"/>
      <c r="F401" s="154"/>
    </row>
    <row r="402" spans="1:6">
      <c r="A402" s="107"/>
      <c r="B402" s="48"/>
      <c r="C402" s="105"/>
      <c r="D402" s="155"/>
      <c r="E402" s="155"/>
      <c r="F402" s="154"/>
    </row>
    <row r="403" spans="1:6">
      <c r="A403" s="107"/>
      <c r="B403" s="48"/>
      <c r="C403" s="105"/>
      <c r="D403" s="155"/>
      <c r="E403" s="155"/>
      <c r="F403" s="154"/>
    </row>
    <row r="404" spans="1:6">
      <c r="A404" s="107"/>
      <c r="B404" s="48"/>
      <c r="C404" s="105"/>
      <c r="D404" s="155"/>
      <c r="E404" s="155"/>
      <c r="F404" s="154"/>
    </row>
    <row r="405" spans="1:6">
      <c r="A405" s="107"/>
      <c r="B405" s="48"/>
      <c r="C405" s="105"/>
      <c r="D405" s="155"/>
      <c r="E405" s="155"/>
      <c r="F405" s="154"/>
    </row>
    <row r="406" spans="1:6">
      <c r="A406" s="107"/>
      <c r="B406" s="48"/>
      <c r="C406" s="105"/>
      <c r="D406" s="155"/>
      <c r="E406" s="155"/>
      <c r="F406" s="154"/>
    </row>
    <row r="407" spans="1:6">
      <c r="A407" s="107"/>
      <c r="B407" s="48"/>
      <c r="C407" s="105"/>
      <c r="D407" s="155"/>
      <c r="E407" s="155"/>
      <c r="F407" s="154"/>
    </row>
    <row r="408" spans="1:6">
      <c r="A408" s="107"/>
      <c r="B408" s="48"/>
      <c r="C408" s="105"/>
      <c r="D408" s="155"/>
      <c r="E408" s="155"/>
      <c r="F408" s="154"/>
    </row>
    <row r="409" spans="1:6">
      <c r="A409" s="107"/>
      <c r="B409" s="48"/>
      <c r="C409" s="105"/>
      <c r="D409" s="155"/>
      <c r="E409" s="155"/>
      <c r="F409" s="154"/>
    </row>
    <row r="410" spans="1:6">
      <c r="A410" s="107"/>
      <c r="B410" s="48"/>
      <c r="C410" s="105"/>
      <c r="D410" s="155"/>
      <c r="E410" s="155"/>
      <c r="F410" s="154"/>
    </row>
    <row r="411" spans="1:6">
      <c r="A411" s="107"/>
      <c r="B411" s="48"/>
      <c r="C411" s="105"/>
      <c r="D411" s="155"/>
      <c r="E411" s="155"/>
      <c r="F411" s="154"/>
    </row>
    <row r="412" spans="1:6">
      <c r="A412" s="107"/>
      <c r="B412" s="48"/>
      <c r="C412" s="105"/>
      <c r="D412" s="155"/>
      <c r="E412" s="155"/>
      <c r="F412" s="154"/>
    </row>
    <row r="413" spans="1:6">
      <c r="A413" s="107"/>
      <c r="B413" s="48"/>
      <c r="C413" s="105"/>
      <c r="D413" s="155"/>
      <c r="E413" s="155"/>
      <c r="F413" s="154"/>
    </row>
    <row r="414" spans="1:6">
      <c r="A414" s="107"/>
      <c r="B414" s="48"/>
      <c r="C414" s="105"/>
      <c r="D414" s="155"/>
      <c r="E414" s="155"/>
      <c r="F414" s="154"/>
    </row>
    <row r="415" spans="1:6">
      <c r="A415" s="106" t="s">
        <v>12</v>
      </c>
      <c r="B415" s="15" t="s">
        <v>11</v>
      </c>
      <c r="C415" s="102" t="s">
        <v>32</v>
      </c>
      <c r="D415" s="135" t="s">
        <v>0</v>
      </c>
      <c r="E415" s="136" t="s">
        <v>31</v>
      </c>
      <c r="F415" s="137" t="s">
        <v>1</v>
      </c>
    </row>
    <row r="416" spans="1:6">
      <c r="B416" s="14"/>
      <c r="F416" s="123"/>
    </row>
    <row r="417" spans="1:6">
      <c r="B417" s="156" t="s">
        <v>41</v>
      </c>
      <c r="C417" s="126"/>
      <c r="D417" s="121"/>
      <c r="F417" s="123"/>
    </row>
    <row r="418" spans="1:6" ht="144" customHeight="1">
      <c r="A418" s="47" t="s">
        <v>2</v>
      </c>
      <c r="B418" s="16" t="s">
        <v>90</v>
      </c>
      <c r="C418" s="126"/>
      <c r="D418" s="121"/>
      <c r="F418" s="123"/>
    </row>
    <row r="419" spans="1:6" ht="13.5" customHeight="1">
      <c r="A419" s="47" t="s">
        <v>114</v>
      </c>
      <c r="B419" s="19" t="s">
        <v>157</v>
      </c>
    </row>
    <row r="420" spans="1:6">
      <c r="B420" s="157" t="s">
        <v>332</v>
      </c>
      <c r="C420" s="126" t="s">
        <v>24</v>
      </c>
      <c r="D420" s="121">
        <f>1.621*1.5*10</f>
        <v>24.314999999999998</v>
      </c>
      <c r="F420" s="123">
        <f t="shared" ref="F420:F421" si="37">SUM(D420*E420)</f>
        <v>0</v>
      </c>
    </row>
    <row r="421" spans="1:6">
      <c r="B421" s="157" t="s">
        <v>333</v>
      </c>
      <c r="C421" s="126" t="s">
        <v>24</v>
      </c>
      <c r="D421" s="121">
        <f>0.1*0.1*0.008*7850*10</f>
        <v>6.2800000000000011</v>
      </c>
      <c r="F421" s="123">
        <f t="shared" si="37"/>
        <v>0</v>
      </c>
    </row>
    <row r="422" spans="1:6">
      <c r="B422" s="157"/>
      <c r="C422" s="126"/>
      <c r="D422" s="121"/>
      <c r="F422" s="123"/>
    </row>
    <row r="423" spans="1:6">
      <c r="A423" s="47" t="s">
        <v>115</v>
      </c>
      <c r="B423" s="19" t="s">
        <v>158</v>
      </c>
    </row>
    <row r="424" spans="1:6">
      <c r="B424" s="157" t="s">
        <v>202</v>
      </c>
      <c r="C424" s="126" t="s">
        <v>24</v>
      </c>
      <c r="D424" s="121">
        <f>1.621*1.5*30</f>
        <v>72.944999999999993</v>
      </c>
      <c r="F424" s="123">
        <f t="shared" ref="F424:F425" si="38">SUM(D424*E424)</f>
        <v>0</v>
      </c>
    </row>
    <row r="425" spans="1:6">
      <c r="B425" s="157" t="s">
        <v>203</v>
      </c>
      <c r="C425" s="126" t="s">
        <v>24</v>
      </c>
      <c r="D425" s="121">
        <f>0.1*0.1*0.008*7850*30</f>
        <v>18.840000000000003</v>
      </c>
      <c r="F425" s="123">
        <f t="shared" si="38"/>
        <v>0</v>
      </c>
    </row>
    <row r="426" spans="1:6">
      <c r="B426" s="157"/>
      <c r="C426" s="126"/>
      <c r="D426" s="121"/>
      <c r="F426" s="123"/>
    </row>
    <row r="427" spans="1:6">
      <c r="A427" s="47" t="s">
        <v>116</v>
      </c>
      <c r="B427" s="19" t="s">
        <v>199</v>
      </c>
    </row>
    <row r="428" spans="1:6">
      <c r="B428" s="157" t="s">
        <v>334</v>
      </c>
      <c r="C428" s="126" t="s">
        <v>24</v>
      </c>
      <c r="D428" s="121">
        <f>1.621*1.5*15</f>
        <v>36.472499999999997</v>
      </c>
      <c r="F428" s="123">
        <f t="shared" ref="F428:F429" si="39">SUM(D428*E428)</f>
        <v>0</v>
      </c>
    </row>
    <row r="429" spans="1:6">
      <c r="B429" s="157" t="s">
        <v>335</v>
      </c>
      <c r="C429" s="126" t="s">
        <v>24</v>
      </c>
      <c r="D429" s="121">
        <f>0.1*0.1*0.008*7850*15</f>
        <v>9.4200000000000017</v>
      </c>
      <c r="F429" s="123">
        <f t="shared" si="39"/>
        <v>0</v>
      </c>
    </row>
    <row r="430" spans="1:6">
      <c r="B430" s="157"/>
      <c r="C430" s="126"/>
      <c r="D430" s="121"/>
      <c r="F430" s="123"/>
    </row>
    <row r="431" spans="1:6">
      <c r="A431" s="47" t="s">
        <v>117</v>
      </c>
      <c r="B431" s="19" t="s">
        <v>200</v>
      </c>
    </row>
    <row r="432" spans="1:6">
      <c r="B432" s="157" t="s">
        <v>334</v>
      </c>
      <c r="C432" s="126" t="s">
        <v>24</v>
      </c>
      <c r="D432" s="121">
        <f>1.621*1.5*15</f>
        <v>36.472499999999997</v>
      </c>
      <c r="F432" s="123">
        <f t="shared" ref="F432:F433" si="40">SUM(D432*E432)</f>
        <v>0</v>
      </c>
    </row>
    <row r="433" spans="1:14">
      <c r="B433" s="157" t="s">
        <v>335</v>
      </c>
      <c r="C433" s="126" t="s">
        <v>24</v>
      </c>
      <c r="D433" s="121">
        <f>0.1*0.1*0.008*7850*15</f>
        <v>9.4200000000000017</v>
      </c>
      <c r="F433" s="123">
        <f t="shared" si="40"/>
        <v>0</v>
      </c>
    </row>
    <row r="434" spans="1:14">
      <c r="B434" s="157"/>
      <c r="C434" s="126"/>
      <c r="D434" s="121"/>
      <c r="F434" s="123"/>
    </row>
    <row r="435" spans="1:14">
      <c r="A435" s="47" t="s">
        <v>118</v>
      </c>
      <c r="B435" s="19" t="s">
        <v>201</v>
      </c>
    </row>
    <row r="436" spans="1:14">
      <c r="B436" s="157" t="s">
        <v>334</v>
      </c>
      <c r="C436" s="126" t="s">
        <v>24</v>
      </c>
      <c r="D436" s="121">
        <f>1.621*1.5*15</f>
        <v>36.472499999999997</v>
      </c>
      <c r="F436" s="123">
        <f t="shared" ref="F436:F437" si="41">SUM(D436*E436)</f>
        <v>0</v>
      </c>
    </row>
    <row r="437" spans="1:14">
      <c r="B437" s="157" t="s">
        <v>335</v>
      </c>
      <c r="C437" s="126" t="s">
        <v>24</v>
      </c>
      <c r="D437" s="121">
        <f>0.1*0.1*0.008*7850*15</f>
        <v>9.4200000000000017</v>
      </c>
      <c r="F437" s="123">
        <f t="shared" si="41"/>
        <v>0</v>
      </c>
    </row>
    <row r="438" spans="1:14">
      <c r="B438" s="157"/>
      <c r="C438" s="126"/>
      <c r="D438" s="121"/>
      <c r="F438" s="123"/>
    </row>
    <row r="439" spans="1:14" ht="113.25" customHeight="1">
      <c r="A439" s="47" t="s">
        <v>3</v>
      </c>
      <c r="B439" s="16" t="s">
        <v>91</v>
      </c>
      <c r="C439" s="126"/>
      <c r="D439" s="121"/>
      <c r="F439" s="123"/>
    </row>
    <row r="440" spans="1:14">
      <c r="B440" s="158" t="s">
        <v>83</v>
      </c>
      <c r="C440" s="126" t="s">
        <v>14</v>
      </c>
      <c r="D440" s="121">
        <v>3</v>
      </c>
      <c r="F440" s="123">
        <f>SUM(D440*E440)</f>
        <v>0</v>
      </c>
    </row>
    <row r="441" spans="1:14">
      <c r="B441" s="157"/>
      <c r="C441" s="126"/>
      <c r="D441" s="121"/>
      <c r="F441" s="123"/>
    </row>
    <row r="442" spans="1:14" ht="38.25">
      <c r="A442" s="97" t="s">
        <v>19</v>
      </c>
      <c r="B442" s="19" t="s">
        <v>336</v>
      </c>
      <c r="D442" s="138"/>
      <c r="F442" s="123"/>
      <c r="H442" s="285"/>
      <c r="K442" s="6"/>
      <c r="M442" s="5"/>
      <c r="N442" s="6"/>
    </row>
    <row r="443" spans="1:14" ht="14.25" customHeight="1">
      <c r="B443" s="17"/>
      <c r="D443" s="133"/>
      <c r="F443" s="123"/>
    </row>
    <row r="444" spans="1:14" ht="14.25" customHeight="1">
      <c r="B444" s="17"/>
      <c r="D444" s="133"/>
      <c r="F444" s="123"/>
    </row>
    <row r="445" spans="1:14" ht="14.25" customHeight="1">
      <c r="B445" s="17"/>
      <c r="D445" s="133"/>
      <c r="F445" s="123"/>
    </row>
    <row r="446" spans="1:14">
      <c r="B446" s="18" t="s">
        <v>70</v>
      </c>
      <c r="E446" s="159"/>
      <c r="F446" s="120"/>
      <c r="I446" s="294"/>
    </row>
    <row r="447" spans="1:14" ht="137.25" customHeight="1">
      <c r="A447" s="47" t="s">
        <v>4</v>
      </c>
      <c r="B447" s="16" t="s">
        <v>72</v>
      </c>
      <c r="E447" s="159"/>
      <c r="F447" s="120"/>
    </row>
    <row r="448" spans="1:14" ht="14.25">
      <c r="A448" s="47" t="s">
        <v>139</v>
      </c>
      <c r="B448" s="13" t="s">
        <v>289</v>
      </c>
      <c r="C448" s="2" t="s">
        <v>64</v>
      </c>
      <c r="D448" s="132">
        <f>16*1.74</f>
        <v>27.84</v>
      </c>
      <c r="F448" s="123">
        <f t="shared" ref="F448:F454" si="42">SUM(D448*E448)</f>
        <v>0</v>
      </c>
    </row>
    <row r="449" spans="1:9" ht="14.25">
      <c r="A449" s="47" t="s">
        <v>140</v>
      </c>
      <c r="B449" s="13" t="s">
        <v>290</v>
      </c>
      <c r="C449" s="2" t="s">
        <v>64</v>
      </c>
      <c r="D449" s="132">
        <f>16*7</f>
        <v>112</v>
      </c>
      <c r="F449" s="123">
        <f t="shared" si="42"/>
        <v>0</v>
      </c>
      <c r="I449" s="294"/>
    </row>
    <row r="450" spans="1:9" ht="14.25">
      <c r="A450" s="47" t="s">
        <v>141</v>
      </c>
      <c r="B450" s="13" t="s">
        <v>291</v>
      </c>
      <c r="C450" s="2" t="s">
        <v>64</v>
      </c>
      <c r="D450" s="132">
        <f>14*4.5</f>
        <v>63</v>
      </c>
      <c r="F450" s="123">
        <f t="shared" si="42"/>
        <v>0</v>
      </c>
      <c r="I450" s="294"/>
    </row>
    <row r="451" spans="1:9" ht="14.25">
      <c r="A451" s="47" t="s">
        <v>142</v>
      </c>
      <c r="B451" s="13" t="s">
        <v>293</v>
      </c>
      <c r="C451" s="2" t="s">
        <v>64</v>
      </c>
      <c r="D451" s="132">
        <f>14*2.75</f>
        <v>38.5</v>
      </c>
      <c r="F451" s="123">
        <f t="shared" si="42"/>
        <v>0</v>
      </c>
      <c r="I451" s="294"/>
    </row>
    <row r="452" spans="1:9" ht="14.25">
      <c r="A452" s="47" t="s">
        <v>143</v>
      </c>
      <c r="B452" s="13" t="s">
        <v>292</v>
      </c>
      <c r="C452" s="2" t="s">
        <v>64</v>
      </c>
      <c r="D452" s="132">
        <f>14*4.5</f>
        <v>63</v>
      </c>
      <c r="F452" s="123">
        <f t="shared" si="42"/>
        <v>0</v>
      </c>
      <c r="I452" s="294"/>
    </row>
    <row r="453" spans="1:9" ht="14.25">
      <c r="A453" s="47" t="s">
        <v>144</v>
      </c>
      <c r="B453" s="13" t="s">
        <v>294</v>
      </c>
      <c r="C453" s="2" t="s">
        <v>64</v>
      </c>
      <c r="D453" s="132">
        <f>17.5*6.2</f>
        <v>108.5</v>
      </c>
      <c r="F453" s="123">
        <f t="shared" si="42"/>
        <v>0</v>
      </c>
      <c r="I453" s="294"/>
    </row>
    <row r="454" spans="1:9" ht="14.25">
      <c r="A454" s="47" t="s">
        <v>145</v>
      </c>
      <c r="B454" s="13" t="s">
        <v>295</v>
      </c>
      <c r="C454" s="2" t="s">
        <v>64</v>
      </c>
      <c r="D454" s="132">
        <f>17.5*6.2</f>
        <v>108.5</v>
      </c>
      <c r="F454" s="123">
        <f t="shared" si="42"/>
        <v>0</v>
      </c>
      <c r="I454" s="294"/>
    </row>
    <row r="455" spans="1:9">
      <c r="B455" s="17"/>
      <c r="F455" s="123"/>
      <c r="I455" s="294"/>
    </row>
    <row r="456" spans="1:9" ht="153">
      <c r="A456" s="47" t="s">
        <v>5</v>
      </c>
      <c r="B456" s="25" t="s">
        <v>341</v>
      </c>
      <c r="E456" s="159"/>
      <c r="F456" s="120"/>
      <c r="I456" s="294"/>
    </row>
    <row r="457" spans="1:9" ht="14.25">
      <c r="A457" s="47" t="s">
        <v>151</v>
      </c>
      <c r="B457" s="13" t="s">
        <v>289</v>
      </c>
      <c r="C457" s="2" t="s">
        <v>64</v>
      </c>
      <c r="D457" s="132">
        <f>16*1.74</f>
        <v>27.84</v>
      </c>
      <c r="F457" s="123">
        <f t="shared" ref="F457:F463" si="43">SUM(D457*E457)</f>
        <v>0</v>
      </c>
      <c r="I457" s="294"/>
    </row>
    <row r="458" spans="1:9" ht="14.25">
      <c r="A458" s="47" t="s">
        <v>152</v>
      </c>
      <c r="B458" s="13" t="s">
        <v>290</v>
      </c>
      <c r="C458" s="2" t="s">
        <v>64</v>
      </c>
      <c r="D458" s="132">
        <f>16*7</f>
        <v>112</v>
      </c>
      <c r="F458" s="123">
        <f t="shared" si="43"/>
        <v>0</v>
      </c>
      <c r="I458" s="294"/>
    </row>
    <row r="459" spans="1:9" ht="14.25">
      <c r="A459" s="47" t="s">
        <v>153</v>
      </c>
      <c r="B459" s="13" t="s">
        <v>291</v>
      </c>
      <c r="C459" s="2" t="s">
        <v>64</v>
      </c>
      <c r="D459" s="132">
        <f>14*4.5</f>
        <v>63</v>
      </c>
      <c r="F459" s="123">
        <f t="shared" si="43"/>
        <v>0</v>
      </c>
      <c r="I459" s="294"/>
    </row>
    <row r="460" spans="1:9" ht="14.25">
      <c r="A460" s="47" t="s">
        <v>337</v>
      </c>
      <c r="B460" s="13" t="s">
        <v>293</v>
      </c>
      <c r="C460" s="2" t="s">
        <v>64</v>
      </c>
      <c r="D460" s="132">
        <f>14*2.75</f>
        <v>38.5</v>
      </c>
      <c r="F460" s="123">
        <f t="shared" si="43"/>
        <v>0</v>
      </c>
      <c r="I460" s="294"/>
    </row>
    <row r="461" spans="1:9" ht="14.25">
      <c r="A461" s="47" t="s">
        <v>338</v>
      </c>
      <c r="B461" s="13" t="s">
        <v>292</v>
      </c>
      <c r="C461" s="2" t="s">
        <v>64</v>
      </c>
      <c r="D461" s="132">
        <f>14*4.5</f>
        <v>63</v>
      </c>
      <c r="F461" s="123">
        <f t="shared" si="43"/>
        <v>0</v>
      </c>
      <c r="I461" s="294"/>
    </row>
    <row r="462" spans="1:9" ht="14.25">
      <c r="A462" s="47" t="s">
        <v>339</v>
      </c>
      <c r="B462" s="13" t="s">
        <v>294</v>
      </c>
      <c r="C462" s="2" t="s">
        <v>64</v>
      </c>
      <c r="D462" s="132">
        <f>17.5*6.2</f>
        <v>108.5</v>
      </c>
      <c r="F462" s="123">
        <f t="shared" si="43"/>
        <v>0</v>
      </c>
      <c r="I462" s="294"/>
    </row>
    <row r="463" spans="1:9" ht="14.25">
      <c r="A463" s="47" t="s">
        <v>340</v>
      </c>
      <c r="B463" s="13" t="s">
        <v>295</v>
      </c>
      <c r="C463" s="2" t="s">
        <v>64</v>
      </c>
      <c r="D463" s="132">
        <f>17.5*6.2</f>
        <v>108.5</v>
      </c>
      <c r="F463" s="123">
        <f t="shared" si="43"/>
        <v>0</v>
      </c>
      <c r="I463" s="294"/>
    </row>
    <row r="464" spans="1:9">
      <c r="F464" s="123"/>
      <c r="I464" s="294"/>
    </row>
    <row r="465" spans="1:9" ht="89.25">
      <c r="A465" s="47" t="s">
        <v>8</v>
      </c>
      <c r="B465" s="16" t="s">
        <v>224</v>
      </c>
      <c r="I465" s="294"/>
    </row>
    <row r="466" spans="1:9" ht="14.25">
      <c r="A466" s="47" t="s">
        <v>154</v>
      </c>
      <c r="B466" s="13" t="s">
        <v>289</v>
      </c>
      <c r="C466" s="2" t="s">
        <v>64</v>
      </c>
      <c r="D466" s="132">
        <f>16*1.74</f>
        <v>27.84</v>
      </c>
      <c r="F466" s="123">
        <f t="shared" ref="F466:F467" si="44">SUM(D466*E466)</f>
        <v>0</v>
      </c>
      <c r="I466" s="294"/>
    </row>
    <row r="467" spans="1:9" ht="14.25">
      <c r="A467" s="47" t="s">
        <v>155</v>
      </c>
      <c r="B467" s="13" t="s">
        <v>290</v>
      </c>
      <c r="C467" s="2" t="s">
        <v>64</v>
      </c>
      <c r="D467" s="132">
        <f>16*7</f>
        <v>112</v>
      </c>
      <c r="F467" s="123">
        <f t="shared" si="44"/>
        <v>0</v>
      </c>
      <c r="I467" s="294"/>
    </row>
    <row r="468" spans="1:9">
      <c r="I468" s="294"/>
    </row>
    <row r="469" spans="1:9">
      <c r="B469" s="18" t="s">
        <v>306</v>
      </c>
      <c r="E469" s="159"/>
      <c r="F469" s="120"/>
      <c r="I469" s="294"/>
    </row>
    <row r="470" spans="1:9" ht="105" customHeight="1">
      <c r="A470" s="47" t="s">
        <v>9</v>
      </c>
      <c r="B470" s="17" t="s">
        <v>84</v>
      </c>
      <c r="E470" s="159"/>
      <c r="F470" s="120"/>
      <c r="I470" s="294"/>
    </row>
    <row r="471" spans="1:9" ht="14.25">
      <c r="A471" s="47" t="s">
        <v>206</v>
      </c>
      <c r="B471" s="17" t="s">
        <v>308</v>
      </c>
      <c r="C471" s="2" t="s">
        <v>64</v>
      </c>
      <c r="D471" s="132">
        <f>14.5*21</f>
        <v>304.5</v>
      </c>
      <c r="F471" s="123">
        <f t="shared" ref="F471:F476" si="45">SUM(D471*E471)</f>
        <v>0</v>
      </c>
      <c r="I471" s="294"/>
    </row>
    <row r="472" spans="1:9" ht="14.25">
      <c r="A472" s="47" t="s">
        <v>207</v>
      </c>
      <c r="B472" s="17" t="s">
        <v>309</v>
      </c>
      <c r="C472" s="2" t="s">
        <v>64</v>
      </c>
      <c r="D472" s="132">
        <f>14.5*18</f>
        <v>261</v>
      </c>
      <c r="F472" s="123">
        <f t="shared" si="45"/>
        <v>0</v>
      </c>
      <c r="I472" s="294"/>
    </row>
    <row r="473" spans="1:9" ht="14.25">
      <c r="A473" s="47" t="s">
        <v>234</v>
      </c>
      <c r="B473" s="17" t="s">
        <v>310</v>
      </c>
      <c r="C473" s="2" t="s">
        <v>64</v>
      </c>
      <c r="D473" s="132">
        <f>4*(5.5+4+5.5*2+4*2+2*6+2*1.3+2+2*2.5+2*2+2*39)</f>
        <v>528.4</v>
      </c>
      <c r="F473" s="123">
        <f t="shared" si="45"/>
        <v>0</v>
      </c>
      <c r="I473" s="294"/>
    </row>
    <row r="474" spans="1:9" ht="14.25">
      <c r="A474" s="47" t="s">
        <v>342</v>
      </c>
      <c r="B474" s="17" t="s">
        <v>311</v>
      </c>
      <c r="C474" s="2" t="s">
        <v>64</v>
      </c>
      <c r="D474" s="132">
        <f>4*(5.5+4+5.5*2+4*2+2*6+2*1.3+2+2*2.5+2*2+2*39)</f>
        <v>528.4</v>
      </c>
      <c r="F474" s="123">
        <f t="shared" si="45"/>
        <v>0</v>
      </c>
      <c r="I474" s="294"/>
    </row>
    <row r="475" spans="1:9" ht="14.25">
      <c r="A475" s="47" t="s">
        <v>343</v>
      </c>
      <c r="B475" s="17" t="s">
        <v>312</v>
      </c>
      <c r="C475" s="2" t="s">
        <v>64</v>
      </c>
      <c r="D475" s="132">
        <f>4*(5.5+4+5.5*2+4*2+2*6+2*1.3+2+2*2.5+2*2+2*39)</f>
        <v>528.4</v>
      </c>
      <c r="F475" s="123">
        <f t="shared" si="45"/>
        <v>0</v>
      </c>
      <c r="I475" s="294"/>
    </row>
    <row r="476" spans="1:9" ht="14.25">
      <c r="A476" s="47" t="s">
        <v>344</v>
      </c>
      <c r="B476" s="17" t="s">
        <v>313</v>
      </c>
      <c r="C476" s="2" t="s">
        <v>64</v>
      </c>
      <c r="D476" s="132">
        <f>4*(5.5+4+5.5*2+4+4+4)</f>
        <v>130</v>
      </c>
      <c r="F476" s="123">
        <f t="shared" si="45"/>
        <v>0</v>
      </c>
      <c r="I476" s="294"/>
    </row>
    <row r="477" spans="1:9">
      <c r="E477" s="159"/>
      <c r="F477" s="120"/>
      <c r="I477" s="294"/>
    </row>
    <row r="478" spans="1:9" ht="369.75">
      <c r="A478" s="47" t="s">
        <v>51</v>
      </c>
      <c r="B478" s="17" t="s">
        <v>85</v>
      </c>
      <c r="E478" s="159"/>
      <c r="F478" s="120"/>
      <c r="I478" s="294"/>
    </row>
    <row r="479" spans="1:9" ht="14.25">
      <c r="A479" s="47" t="s">
        <v>208</v>
      </c>
      <c r="B479" s="17" t="s">
        <v>308</v>
      </c>
      <c r="C479" s="2" t="s">
        <v>64</v>
      </c>
      <c r="D479" s="132">
        <f>14.5*21</f>
        <v>304.5</v>
      </c>
      <c r="F479" s="123">
        <f t="shared" ref="F479:F484" si="46">SUM(D479*E479)</f>
        <v>0</v>
      </c>
      <c r="I479" s="294"/>
    </row>
    <row r="480" spans="1:9" ht="14.25">
      <c r="A480" s="47" t="s">
        <v>209</v>
      </c>
      <c r="B480" s="17" t="s">
        <v>309</v>
      </c>
      <c r="C480" s="2" t="s">
        <v>64</v>
      </c>
      <c r="D480" s="132">
        <f>14.5*18</f>
        <v>261</v>
      </c>
      <c r="F480" s="123">
        <f t="shared" si="46"/>
        <v>0</v>
      </c>
      <c r="I480" s="294"/>
    </row>
    <row r="481" spans="1:9" ht="14.25">
      <c r="A481" s="47" t="s">
        <v>345</v>
      </c>
      <c r="B481" s="17" t="s">
        <v>310</v>
      </c>
      <c r="C481" s="2" t="s">
        <v>64</v>
      </c>
      <c r="D481" s="132">
        <f>4*(5.5+4+5.5*2+4*2+2*6+2*1.3+2+2*2.5+2*2+2*39)</f>
        <v>528.4</v>
      </c>
      <c r="F481" s="123">
        <f t="shared" si="46"/>
        <v>0</v>
      </c>
      <c r="I481" s="294"/>
    </row>
    <row r="482" spans="1:9" ht="14.25">
      <c r="A482" s="47" t="s">
        <v>235</v>
      </c>
      <c r="B482" s="17" t="s">
        <v>311</v>
      </c>
      <c r="C482" s="2" t="s">
        <v>64</v>
      </c>
      <c r="D482" s="132">
        <f>4*(5.5+4+5.5*2+4*2+2*6+2*1.3+2+2*2.5+2*2+2*39)</f>
        <v>528.4</v>
      </c>
      <c r="F482" s="123">
        <f t="shared" si="46"/>
        <v>0</v>
      </c>
      <c r="I482" s="294"/>
    </row>
    <row r="483" spans="1:9" ht="14.25">
      <c r="A483" s="47" t="s">
        <v>236</v>
      </c>
      <c r="B483" s="17" t="s">
        <v>312</v>
      </c>
      <c r="C483" s="2" t="s">
        <v>64</v>
      </c>
      <c r="D483" s="132">
        <f>4*(5.5+4+5.5*2+4*2+2*6+2*1.3+2+2*2.5+2*2+2*39)</f>
        <v>528.4</v>
      </c>
      <c r="F483" s="123">
        <f t="shared" si="46"/>
        <v>0</v>
      </c>
      <c r="I483" s="294"/>
    </row>
    <row r="484" spans="1:9" ht="14.25">
      <c r="A484" s="47" t="s">
        <v>237</v>
      </c>
      <c r="B484" s="17" t="s">
        <v>313</v>
      </c>
      <c r="C484" s="2" t="s">
        <v>64</v>
      </c>
      <c r="D484" s="132">
        <f>4*(5.5+4+5.5*2+4+4+4)</f>
        <v>130</v>
      </c>
      <c r="F484" s="123">
        <f t="shared" si="46"/>
        <v>0</v>
      </c>
      <c r="I484" s="294"/>
    </row>
    <row r="485" spans="1:9">
      <c r="B485" s="17"/>
      <c r="F485" s="123"/>
      <c r="I485" s="294"/>
    </row>
    <row r="486" spans="1:9" ht="174.75" customHeight="1">
      <c r="A486" s="47" t="s">
        <v>52</v>
      </c>
      <c r="B486" s="17" t="s">
        <v>86</v>
      </c>
      <c r="E486" s="159"/>
      <c r="F486" s="120"/>
      <c r="I486" s="294"/>
    </row>
    <row r="487" spans="1:9">
      <c r="A487" s="47" t="s">
        <v>232</v>
      </c>
      <c r="B487" s="17" t="s">
        <v>308</v>
      </c>
      <c r="C487" s="2" t="s">
        <v>14</v>
      </c>
      <c r="D487" s="132">
        <f t="shared" ref="D487:D492" si="47">D479*5</f>
        <v>1522.5</v>
      </c>
      <c r="F487" s="123">
        <f t="shared" ref="F487:F492" si="48">SUM(D487*E487)</f>
        <v>0</v>
      </c>
      <c r="I487" s="294"/>
    </row>
    <row r="488" spans="1:9">
      <c r="A488" s="47" t="s">
        <v>233</v>
      </c>
      <c r="B488" s="17" t="s">
        <v>309</v>
      </c>
      <c r="C488" s="2" t="s">
        <v>14</v>
      </c>
      <c r="D488" s="132">
        <f t="shared" si="47"/>
        <v>1305</v>
      </c>
      <c r="F488" s="123">
        <f t="shared" si="48"/>
        <v>0</v>
      </c>
      <c r="I488" s="294"/>
    </row>
    <row r="489" spans="1:9">
      <c r="A489" s="47" t="s">
        <v>301</v>
      </c>
      <c r="B489" s="17" t="s">
        <v>310</v>
      </c>
      <c r="C489" s="2" t="s">
        <v>14</v>
      </c>
      <c r="D489" s="132">
        <f t="shared" si="47"/>
        <v>2642</v>
      </c>
      <c r="F489" s="123">
        <f t="shared" si="48"/>
        <v>0</v>
      </c>
      <c r="I489" s="294"/>
    </row>
    <row r="490" spans="1:9">
      <c r="A490" s="47" t="s">
        <v>302</v>
      </c>
      <c r="B490" s="17" t="s">
        <v>311</v>
      </c>
      <c r="C490" s="2" t="s">
        <v>14</v>
      </c>
      <c r="D490" s="132">
        <f t="shared" si="47"/>
        <v>2642</v>
      </c>
      <c r="F490" s="123">
        <f t="shared" si="48"/>
        <v>0</v>
      </c>
      <c r="I490" s="294"/>
    </row>
    <row r="491" spans="1:9">
      <c r="A491" s="47" t="s">
        <v>303</v>
      </c>
      <c r="B491" s="17" t="s">
        <v>312</v>
      </c>
      <c r="C491" s="2" t="s">
        <v>14</v>
      </c>
      <c r="D491" s="132">
        <f t="shared" si="47"/>
        <v>2642</v>
      </c>
      <c r="F491" s="123">
        <f t="shared" si="48"/>
        <v>0</v>
      </c>
      <c r="I491" s="294"/>
    </row>
    <row r="492" spans="1:9">
      <c r="A492" s="47" t="s">
        <v>304</v>
      </c>
      <c r="B492" s="17" t="s">
        <v>313</v>
      </c>
      <c r="C492" s="2" t="s">
        <v>14</v>
      </c>
      <c r="D492" s="132">
        <f t="shared" si="47"/>
        <v>650</v>
      </c>
      <c r="F492" s="123">
        <f t="shared" si="48"/>
        <v>0</v>
      </c>
      <c r="I492" s="294"/>
    </row>
    <row r="493" spans="1:9">
      <c r="B493" s="17"/>
      <c r="F493" s="123"/>
      <c r="I493" s="294"/>
    </row>
    <row r="494" spans="1:9" ht="127.5">
      <c r="A494" s="47" t="s">
        <v>53</v>
      </c>
      <c r="B494" s="16" t="s">
        <v>72</v>
      </c>
      <c r="E494" s="159"/>
      <c r="F494" s="120"/>
      <c r="I494" s="294"/>
    </row>
    <row r="495" spans="1:9" ht="14.25">
      <c r="A495" s="47" t="s">
        <v>165</v>
      </c>
      <c r="B495" s="17" t="s">
        <v>308</v>
      </c>
      <c r="C495" s="2" t="s">
        <v>64</v>
      </c>
      <c r="D495" s="132">
        <f>14.5*21</f>
        <v>304.5</v>
      </c>
      <c r="F495" s="123">
        <f t="shared" ref="F495:F500" si="49">SUM(D495*E495)</f>
        <v>0</v>
      </c>
      <c r="I495" s="294"/>
    </row>
    <row r="496" spans="1:9" ht="14.25">
      <c r="A496" s="47" t="s">
        <v>166</v>
      </c>
      <c r="B496" s="17" t="s">
        <v>309</v>
      </c>
      <c r="C496" s="2" t="s">
        <v>64</v>
      </c>
      <c r="D496" s="132">
        <f>14.5*18</f>
        <v>261</v>
      </c>
      <c r="F496" s="123">
        <f t="shared" si="49"/>
        <v>0</v>
      </c>
      <c r="I496" s="294"/>
    </row>
    <row r="497" spans="1:9" ht="14.25">
      <c r="A497" s="47" t="s">
        <v>210</v>
      </c>
      <c r="B497" s="17" t="s">
        <v>310</v>
      </c>
      <c r="C497" s="2" t="s">
        <v>64</v>
      </c>
      <c r="D497" s="132">
        <f>4*(5.5+4+5.5*2+4*2+2*6+2*1.3+2+2*2.5+2*2+2*39)</f>
        <v>528.4</v>
      </c>
      <c r="F497" s="123">
        <f t="shared" si="49"/>
        <v>0</v>
      </c>
      <c r="I497" s="294"/>
    </row>
    <row r="498" spans="1:9" ht="14.25">
      <c r="A498" s="47" t="s">
        <v>211</v>
      </c>
      <c r="B498" s="17" t="s">
        <v>311</v>
      </c>
      <c r="C498" s="2" t="s">
        <v>64</v>
      </c>
      <c r="D498" s="132">
        <f>4*(5.5+4+5.5*2+4*2+2*6+2*1.3+2+2*2.5+2*2+2*39)</f>
        <v>528.4</v>
      </c>
      <c r="F498" s="123">
        <f t="shared" si="49"/>
        <v>0</v>
      </c>
      <c r="I498" s="294"/>
    </row>
    <row r="499" spans="1:9" ht="14.25">
      <c r="A499" s="47" t="s">
        <v>212</v>
      </c>
      <c r="B499" s="17" t="s">
        <v>312</v>
      </c>
      <c r="C499" s="2" t="s">
        <v>64</v>
      </c>
      <c r="D499" s="132">
        <f>4*(5.5+4+5.5*2+4*2+2*6+2*1.3+2+2*2.5+2*2+2*39)</f>
        <v>528.4</v>
      </c>
      <c r="F499" s="123">
        <f t="shared" si="49"/>
        <v>0</v>
      </c>
      <c r="I499" s="294"/>
    </row>
    <row r="500" spans="1:9" ht="14.25">
      <c r="A500" s="47" t="s">
        <v>213</v>
      </c>
      <c r="B500" s="17" t="s">
        <v>313</v>
      </c>
      <c r="C500" s="2" t="s">
        <v>64</v>
      </c>
      <c r="D500" s="132">
        <f>4*(5.5+4+5.5*2+4+4+4)</f>
        <v>130</v>
      </c>
      <c r="F500" s="123">
        <f t="shared" si="49"/>
        <v>0</v>
      </c>
      <c r="I500" s="294"/>
    </row>
    <row r="501" spans="1:9">
      <c r="B501" s="17"/>
      <c r="F501" s="123"/>
      <c r="I501" s="294"/>
    </row>
    <row r="502" spans="1:9" ht="165.75">
      <c r="A502" s="47" t="s">
        <v>54</v>
      </c>
      <c r="B502" s="25" t="s">
        <v>44</v>
      </c>
      <c r="E502" s="159"/>
      <c r="F502" s="120"/>
      <c r="I502" s="294"/>
    </row>
    <row r="503" spans="1:9" ht="14.25">
      <c r="A503" s="47" t="s">
        <v>204</v>
      </c>
      <c r="B503" s="17" t="s">
        <v>308</v>
      </c>
      <c r="C503" s="2" t="s">
        <v>64</v>
      </c>
      <c r="D503" s="132">
        <f>14.5*21</f>
        <v>304.5</v>
      </c>
      <c r="F503" s="123">
        <f t="shared" ref="F503:F508" si="50">SUM(D503*E503)</f>
        <v>0</v>
      </c>
      <c r="I503" s="294"/>
    </row>
    <row r="504" spans="1:9" ht="14.25">
      <c r="A504" s="47" t="s">
        <v>205</v>
      </c>
      <c r="B504" s="17" t="s">
        <v>309</v>
      </c>
      <c r="C504" s="2" t="s">
        <v>64</v>
      </c>
      <c r="D504" s="132">
        <f>14.5*18</f>
        <v>261</v>
      </c>
      <c r="F504" s="123">
        <f t="shared" si="50"/>
        <v>0</v>
      </c>
      <c r="I504" s="294"/>
    </row>
    <row r="505" spans="1:9" ht="14.25">
      <c r="A505" s="47" t="s">
        <v>215</v>
      </c>
      <c r="B505" s="17" t="s">
        <v>310</v>
      </c>
      <c r="C505" s="2" t="s">
        <v>64</v>
      </c>
      <c r="D505" s="132">
        <f>4*(5.5+4+5.5*2+4*2+2*6+2*1.3+2+2*2.5+2*2+2*39)</f>
        <v>528.4</v>
      </c>
      <c r="F505" s="123">
        <f t="shared" si="50"/>
        <v>0</v>
      </c>
      <c r="I505" s="294"/>
    </row>
    <row r="506" spans="1:9" ht="14.25">
      <c r="A506" s="47" t="s">
        <v>216</v>
      </c>
      <c r="B506" s="17" t="s">
        <v>311</v>
      </c>
      <c r="C506" s="2" t="s">
        <v>64</v>
      </c>
      <c r="D506" s="132">
        <f>4*(5.5+4+5.5*2+4*2+2*6+2*1.3+2+2*2.5+2*2+2*39)</f>
        <v>528.4</v>
      </c>
      <c r="F506" s="123">
        <f t="shared" si="50"/>
        <v>0</v>
      </c>
      <c r="I506" s="294"/>
    </row>
    <row r="507" spans="1:9" ht="14.25">
      <c r="A507" s="47" t="s">
        <v>217</v>
      </c>
      <c r="B507" s="17" t="s">
        <v>312</v>
      </c>
      <c r="C507" s="2" t="s">
        <v>64</v>
      </c>
      <c r="D507" s="132">
        <f>4*(5.5+4+5.5*2+4*2+2*6+2*1.3+2+2*2.5+2*2+2*39)</f>
        <v>528.4</v>
      </c>
      <c r="F507" s="123">
        <f t="shared" si="50"/>
        <v>0</v>
      </c>
      <c r="I507" s="294"/>
    </row>
    <row r="508" spans="1:9" ht="14.25">
      <c r="A508" s="47" t="s">
        <v>218</v>
      </c>
      <c r="B508" s="17" t="s">
        <v>313</v>
      </c>
      <c r="C508" s="2" t="s">
        <v>64</v>
      </c>
      <c r="D508" s="132">
        <f>4*(5.5+4+5.5*2+4+4+4)</f>
        <v>130</v>
      </c>
      <c r="F508" s="123">
        <f t="shared" si="50"/>
        <v>0</v>
      </c>
      <c r="I508" s="294"/>
    </row>
    <row r="509" spans="1:9">
      <c r="B509" s="17"/>
      <c r="F509" s="123"/>
      <c r="I509" s="294"/>
    </row>
    <row r="510" spans="1:9" ht="38.25">
      <c r="A510" s="97" t="s">
        <v>19</v>
      </c>
      <c r="B510" s="19" t="s">
        <v>346</v>
      </c>
      <c r="D510" s="133"/>
      <c r="F510" s="123"/>
      <c r="I510" s="294"/>
    </row>
    <row r="511" spans="1:9">
      <c r="A511" s="97"/>
      <c r="B511" s="19"/>
      <c r="D511" s="133"/>
      <c r="F511" s="123"/>
      <c r="I511" s="294"/>
    </row>
    <row r="512" spans="1:9">
      <c r="A512" s="97"/>
      <c r="B512" s="19"/>
      <c r="D512" s="133"/>
      <c r="F512" s="123"/>
      <c r="I512" s="294"/>
    </row>
    <row r="513" spans="1:9">
      <c r="A513" s="97"/>
      <c r="B513" s="19"/>
      <c r="D513" s="133"/>
      <c r="F513" s="123"/>
      <c r="I513" s="294"/>
    </row>
    <row r="514" spans="1:9" ht="41.25" customHeight="1">
      <c r="A514" s="97"/>
      <c r="B514" s="19" t="s">
        <v>410</v>
      </c>
      <c r="D514" s="133"/>
      <c r="F514" s="123"/>
      <c r="I514" s="294"/>
    </row>
    <row r="515" spans="1:9">
      <c r="A515" s="97"/>
      <c r="B515" s="19"/>
      <c r="D515" s="133"/>
      <c r="F515" s="123"/>
      <c r="I515" s="294"/>
    </row>
    <row r="516" spans="1:9" ht="114.75">
      <c r="A516" s="47" t="s">
        <v>55</v>
      </c>
      <c r="B516" s="16" t="s">
        <v>411</v>
      </c>
      <c r="D516" s="143"/>
      <c r="E516" s="145"/>
      <c r="F516" s="144"/>
      <c r="I516" s="294"/>
    </row>
    <row r="517" spans="1:9" ht="14.25">
      <c r="A517" s="47" t="s">
        <v>167</v>
      </c>
      <c r="B517" s="160" t="s">
        <v>412</v>
      </c>
      <c r="C517" s="2" t="s">
        <v>67</v>
      </c>
      <c r="D517" s="161">
        <f>0.35*5*4/2</f>
        <v>3.5</v>
      </c>
      <c r="E517" s="2"/>
      <c r="F517" s="123">
        <f t="shared" ref="F517:F518" si="51">SUM(D517*E517)</f>
        <v>0</v>
      </c>
      <c r="I517" s="294"/>
    </row>
    <row r="518" spans="1:9" ht="14.25">
      <c r="A518" s="47" t="s">
        <v>168</v>
      </c>
      <c r="B518" s="160" t="s">
        <v>413</v>
      </c>
      <c r="C518" s="2" t="s">
        <v>67</v>
      </c>
      <c r="D518" s="161">
        <f>0.35*5*4/2</f>
        <v>3.5</v>
      </c>
      <c r="E518" s="2"/>
      <c r="F518" s="123">
        <f t="shared" si="51"/>
        <v>0</v>
      </c>
      <c r="I518" s="294"/>
    </row>
    <row r="519" spans="1:9">
      <c r="B519" s="160"/>
      <c r="D519" s="161"/>
      <c r="E519" s="2"/>
      <c r="F519" s="144"/>
      <c r="I519" s="294"/>
    </row>
    <row r="520" spans="1:9" ht="127.5">
      <c r="A520" s="47" t="s">
        <v>56</v>
      </c>
      <c r="B520" s="16" t="s">
        <v>72</v>
      </c>
      <c r="D520" s="143"/>
      <c r="E520" s="145"/>
      <c r="F520" s="144"/>
      <c r="I520" s="294"/>
    </row>
    <row r="521" spans="1:9" ht="14.25">
      <c r="A521" s="47" t="s">
        <v>169</v>
      </c>
      <c r="B521" s="160" t="s">
        <v>412</v>
      </c>
      <c r="C521" s="2" t="s">
        <v>64</v>
      </c>
      <c r="D521" s="161">
        <f>5*4/2</f>
        <v>10</v>
      </c>
      <c r="E521" s="132"/>
      <c r="F521" s="123">
        <f t="shared" ref="F521:F522" si="52">SUM(D521*E521)</f>
        <v>0</v>
      </c>
      <c r="I521" s="294"/>
    </row>
    <row r="522" spans="1:9" ht="14.25">
      <c r="A522" s="47" t="s">
        <v>170</v>
      </c>
      <c r="B522" s="160" t="s">
        <v>413</v>
      </c>
      <c r="C522" s="2" t="s">
        <v>64</v>
      </c>
      <c r="D522" s="161">
        <f>5*4/2</f>
        <v>10</v>
      </c>
      <c r="E522" s="132"/>
      <c r="F522" s="123">
        <f t="shared" si="52"/>
        <v>0</v>
      </c>
      <c r="I522" s="294"/>
    </row>
    <row r="523" spans="1:9">
      <c r="B523" s="17"/>
      <c r="D523" s="133"/>
      <c r="E523" s="132"/>
      <c r="F523" s="123"/>
      <c r="I523" s="294"/>
    </row>
    <row r="524" spans="1:9" ht="153">
      <c r="A524" s="47" t="s">
        <v>57</v>
      </c>
      <c r="B524" s="25" t="s">
        <v>341</v>
      </c>
      <c r="D524" s="133"/>
      <c r="E524" s="162"/>
      <c r="F524" s="120"/>
      <c r="I524" s="294"/>
    </row>
    <row r="525" spans="1:9" ht="14.25">
      <c r="A525" s="47" t="s">
        <v>238</v>
      </c>
      <c r="B525" s="160" t="s">
        <v>412</v>
      </c>
      <c r="C525" s="2" t="s">
        <v>64</v>
      </c>
      <c r="D525" s="161">
        <f>5*4/2</f>
        <v>10</v>
      </c>
      <c r="E525" s="132"/>
      <c r="F525" s="123">
        <f t="shared" ref="F525:F526" si="53">SUM(D525*E525)</f>
        <v>0</v>
      </c>
      <c r="I525" s="294"/>
    </row>
    <row r="526" spans="1:9" ht="14.25">
      <c r="A526" s="47" t="s">
        <v>239</v>
      </c>
      <c r="B526" s="160" t="s">
        <v>413</v>
      </c>
      <c r="C526" s="2" t="s">
        <v>64</v>
      </c>
      <c r="D526" s="161">
        <f>5*4/2</f>
        <v>10</v>
      </c>
      <c r="E526" s="132"/>
      <c r="F526" s="123">
        <f t="shared" si="53"/>
        <v>0</v>
      </c>
      <c r="I526" s="294"/>
    </row>
    <row r="527" spans="1:9">
      <c r="A527" s="97"/>
      <c r="B527" s="19"/>
      <c r="D527" s="133"/>
      <c r="F527" s="123"/>
      <c r="I527" s="294"/>
    </row>
    <row r="528" spans="1:9">
      <c r="A528" s="97"/>
      <c r="B528" s="19"/>
      <c r="D528" s="133"/>
      <c r="F528" s="123"/>
      <c r="I528" s="294"/>
    </row>
    <row r="529" spans="1:9">
      <c r="A529" s="97"/>
      <c r="B529" s="19"/>
      <c r="D529" s="133"/>
      <c r="F529" s="123"/>
      <c r="I529" s="294"/>
    </row>
    <row r="530" spans="1:9">
      <c r="B530" s="16"/>
      <c r="F530" s="123"/>
    </row>
    <row r="531" spans="1:9">
      <c r="A531" s="55"/>
      <c r="B531" s="22" t="s">
        <v>26</v>
      </c>
      <c r="C531" s="152"/>
      <c r="D531" s="146"/>
      <c r="E531" s="147"/>
      <c r="F531" s="148">
        <f>SUM(F418:F528)</f>
        <v>0</v>
      </c>
    </row>
    <row r="532" spans="1:9">
      <c r="B532" s="18"/>
      <c r="F532" s="123"/>
    </row>
    <row r="533" spans="1:9">
      <c r="B533" s="18"/>
      <c r="F533" s="123"/>
    </row>
    <row r="534" spans="1:9">
      <c r="B534" s="18"/>
      <c r="F534" s="123"/>
    </row>
    <row r="535" spans="1:9">
      <c r="B535" s="18"/>
      <c r="F535" s="123"/>
    </row>
    <row r="536" spans="1:9">
      <c r="B536" s="18"/>
      <c r="F536" s="123"/>
    </row>
    <row r="537" spans="1:9">
      <c r="B537" s="18"/>
      <c r="F537" s="123"/>
    </row>
    <row r="538" spans="1:9">
      <c r="B538" s="18"/>
      <c r="F538" s="123"/>
    </row>
    <row r="539" spans="1:9">
      <c r="B539" s="18"/>
      <c r="F539" s="123"/>
    </row>
    <row r="540" spans="1:9">
      <c r="B540" s="18"/>
      <c r="F540" s="123"/>
    </row>
    <row r="541" spans="1:9">
      <c r="B541" s="18"/>
      <c r="F541" s="123"/>
    </row>
    <row r="542" spans="1:9">
      <c r="B542" s="18"/>
      <c r="F542" s="123"/>
    </row>
    <row r="543" spans="1:9">
      <c r="B543" s="18"/>
      <c r="F543" s="123"/>
    </row>
    <row r="544" spans="1:9">
      <c r="B544" s="18"/>
      <c r="F544" s="123"/>
    </row>
    <row r="545" spans="1:8">
      <c r="B545" s="18"/>
      <c r="F545" s="123"/>
    </row>
    <row r="546" spans="1:8">
      <c r="B546" s="18"/>
      <c r="F546" s="123"/>
    </row>
    <row r="547" spans="1:8">
      <c r="B547" s="18"/>
      <c r="F547" s="123"/>
    </row>
    <row r="548" spans="1:8">
      <c r="B548" s="18"/>
      <c r="F548" s="123"/>
    </row>
    <row r="549" spans="1:8">
      <c r="B549" s="18"/>
      <c r="F549" s="123"/>
    </row>
    <row r="550" spans="1:8">
      <c r="A550" s="106" t="s">
        <v>20</v>
      </c>
      <c r="B550" s="15" t="s">
        <v>33</v>
      </c>
      <c r="C550" s="102" t="s">
        <v>32</v>
      </c>
      <c r="D550" s="135" t="s">
        <v>0</v>
      </c>
      <c r="E550" s="136" t="s">
        <v>31</v>
      </c>
      <c r="F550" s="137" t="s">
        <v>1</v>
      </c>
    </row>
    <row r="551" spans="1:8" ht="51">
      <c r="B551" s="19" t="s">
        <v>75</v>
      </c>
      <c r="F551" s="123"/>
    </row>
    <row r="552" spans="1:8">
      <c r="F552" s="123"/>
    </row>
    <row r="553" spans="1:8" ht="38.25">
      <c r="B553" s="18" t="s">
        <v>515</v>
      </c>
      <c r="C553" s="47"/>
      <c r="D553" s="162"/>
      <c r="E553" s="159"/>
      <c r="F553" s="120"/>
    </row>
    <row r="554" spans="1:8" ht="153" customHeight="1">
      <c r="A554" s="47" t="s">
        <v>2</v>
      </c>
      <c r="B554" s="99" t="s">
        <v>510</v>
      </c>
      <c r="D554" s="122"/>
      <c r="F554" s="123"/>
      <c r="H554" s="284"/>
    </row>
    <row r="555" spans="1:8" ht="25.5">
      <c r="B555" s="99" t="s">
        <v>511</v>
      </c>
      <c r="C555" s="7" t="s">
        <v>24</v>
      </c>
      <c r="D555" s="257">
        <f>1.242*0.85*35</f>
        <v>36.949499999999993</v>
      </c>
      <c r="E555" s="35"/>
      <c r="F555" s="123">
        <f>SUM(D555*E555)</f>
        <v>0</v>
      </c>
      <c r="H555" s="284">
        <f>(8.7/0.5)*2</f>
        <v>34.799999999999997</v>
      </c>
    </row>
    <row r="556" spans="1:8">
      <c r="B556" s="49"/>
      <c r="F556" s="123"/>
      <c r="H556" s="284"/>
    </row>
    <row r="557" spans="1:8" ht="51">
      <c r="A557" s="47" t="s">
        <v>3</v>
      </c>
      <c r="B557" s="99" t="s">
        <v>512</v>
      </c>
      <c r="D557" s="122"/>
      <c r="F557" s="163"/>
      <c r="H557" s="284"/>
    </row>
    <row r="558" spans="1:8" ht="14.25">
      <c r="B558" s="164" t="s">
        <v>513</v>
      </c>
      <c r="C558" s="2" t="s">
        <v>67</v>
      </c>
      <c r="D558" s="165">
        <f>8.7*0.3*0.3</f>
        <v>0.78299999999999992</v>
      </c>
      <c r="E558" s="165"/>
      <c r="F558" s="123">
        <f t="shared" ref="F558:F559" si="54">SUM(D558*E558)</f>
        <v>0</v>
      </c>
      <c r="H558" s="284"/>
    </row>
    <row r="559" spans="1:8">
      <c r="B559" s="166" t="s">
        <v>414</v>
      </c>
      <c r="C559" s="167" t="s">
        <v>24</v>
      </c>
      <c r="D559" s="165">
        <f>120*D558</f>
        <v>93.96</v>
      </c>
      <c r="E559" s="165"/>
      <c r="F559" s="123">
        <f t="shared" si="54"/>
        <v>0</v>
      </c>
      <c r="H559" s="284"/>
    </row>
    <row r="560" spans="1:8">
      <c r="B560" s="49"/>
      <c r="F560" s="123"/>
      <c r="H560" s="284"/>
    </row>
    <row r="561" spans="1:8" ht="51">
      <c r="A561" s="47" t="s">
        <v>4</v>
      </c>
      <c r="B561" s="99" t="s">
        <v>514</v>
      </c>
      <c r="D561" s="122"/>
      <c r="F561" s="163"/>
    </row>
    <row r="562" spans="1:8" ht="14.25">
      <c r="B562" s="164" t="s">
        <v>513</v>
      </c>
      <c r="C562" s="2" t="s">
        <v>67</v>
      </c>
      <c r="D562" s="165">
        <f>0.4*(14+24+1.4*2*4)</f>
        <v>19.680000000000003</v>
      </c>
      <c r="E562" s="165"/>
      <c r="F562" s="123">
        <f t="shared" ref="F562:F563" si="55">SUM(D562*E562)</f>
        <v>0</v>
      </c>
    </row>
    <row r="563" spans="1:8">
      <c r="B563" s="166" t="s">
        <v>414</v>
      </c>
      <c r="C563" s="167" t="s">
        <v>24</v>
      </c>
      <c r="D563" s="165">
        <f>120*D562</f>
        <v>2361.6000000000004</v>
      </c>
      <c r="E563" s="165"/>
      <c r="F563" s="123">
        <f t="shared" si="55"/>
        <v>0</v>
      </c>
    </row>
    <row r="564" spans="1:8">
      <c r="B564" s="237"/>
      <c r="C564" s="47"/>
      <c r="D564" s="162"/>
      <c r="E564" s="159"/>
      <c r="F564" s="120"/>
    </row>
    <row r="565" spans="1:8" ht="51">
      <c r="A565" s="47" t="s">
        <v>5</v>
      </c>
      <c r="B565" s="258" t="s">
        <v>516</v>
      </c>
      <c r="C565" s="47"/>
      <c r="D565" s="162"/>
      <c r="E565" s="159"/>
      <c r="F565" s="120"/>
    </row>
    <row r="566" spans="1:8">
      <c r="B566" s="258" t="s">
        <v>517</v>
      </c>
      <c r="C566" s="240" t="s">
        <v>190</v>
      </c>
      <c r="D566" s="244">
        <v>23.5</v>
      </c>
      <c r="F566" s="123">
        <f>SUM(D566*E566)</f>
        <v>0</v>
      </c>
      <c r="G566" s="286"/>
    </row>
    <row r="567" spans="1:8">
      <c r="B567" s="237"/>
      <c r="C567" s="47"/>
      <c r="D567" s="162"/>
      <c r="F567" s="123"/>
      <c r="G567" s="286"/>
    </row>
    <row r="568" spans="1:8" ht="25.5">
      <c r="A568" s="264" t="s">
        <v>8</v>
      </c>
      <c r="B568" s="258" t="s">
        <v>518</v>
      </c>
      <c r="C568" s="240"/>
      <c r="D568" s="244"/>
      <c r="F568" s="123"/>
      <c r="G568" s="286"/>
    </row>
    <row r="569" spans="1:8" ht="51">
      <c r="A569" s="259" t="s">
        <v>87</v>
      </c>
      <c r="B569" s="258" t="s">
        <v>519</v>
      </c>
      <c r="C569" s="240"/>
      <c r="D569" s="244"/>
      <c r="F569" s="123"/>
      <c r="G569" s="286"/>
    </row>
    <row r="570" spans="1:8" ht="51">
      <c r="A570" s="259" t="s">
        <v>87</v>
      </c>
      <c r="B570" s="258" t="s">
        <v>520</v>
      </c>
      <c r="C570" s="240"/>
      <c r="D570" s="244"/>
      <c r="F570" s="123"/>
      <c r="G570" s="286"/>
    </row>
    <row r="571" spans="1:8" ht="63.75">
      <c r="A571" s="259" t="s">
        <v>87</v>
      </c>
      <c r="B571" s="258" t="s">
        <v>521</v>
      </c>
      <c r="C571" s="240"/>
      <c r="D571" s="244"/>
      <c r="F571" s="123"/>
      <c r="G571" s="286"/>
    </row>
    <row r="572" spans="1:8">
      <c r="A572" s="264" t="s">
        <v>154</v>
      </c>
      <c r="B572" s="260" t="s">
        <v>522</v>
      </c>
      <c r="C572" s="240"/>
      <c r="D572" s="244"/>
      <c r="F572" s="123"/>
      <c r="G572" s="286"/>
    </row>
    <row r="573" spans="1:8">
      <c r="A573" s="264"/>
      <c r="B573" s="261" t="s">
        <v>523</v>
      </c>
      <c r="C573" s="240" t="s">
        <v>190</v>
      </c>
      <c r="D573" s="244">
        <v>250</v>
      </c>
      <c r="F573" s="123">
        <f>SUM(D573*E573)</f>
        <v>0</v>
      </c>
      <c r="G573" s="286"/>
    </row>
    <row r="574" spans="1:8">
      <c r="A574" s="264" t="s">
        <v>155</v>
      </c>
      <c r="B574" s="260" t="s">
        <v>524</v>
      </c>
      <c r="C574" s="262"/>
      <c r="D574" s="265"/>
      <c r="F574" s="123"/>
      <c r="G574" s="286"/>
    </row>
    <row r="575" spans="1:8">
      <c r="A575" s="259"/>
      <c r="B575" s="261" t="s">
        <v>525</v>
      </c>
      <c r="C575" s="240" t="s">
        <v>190</v>
      </c>
      <c r="D575" s="244">
        <v>176</v>
      </c>
      <c r="F575" s="123">
        <f t="shared" ref="F575:F576" si="56">SUM(D575*E575)</f>
        <v>0</v>
      </c>
      <c r="G575" s="287">
        <f>F566+F573+F575</f>
        <v>0</v>
      </c>
      <c r="H575" s="279">
        <f>G575/7.354</f>
        <v>0</v>
      </c>
    </row>
    <row r="576" spans="1:8">
      <c r="A576" s="259"/>
      <c r="B576" s="263" t="s">
        <v>526</v>
      </c>
      <c r="C576" s="240" t="s">
        <v>190</v>
      </c>
      <c r="D576" s="244">
        <f>SUM(D573:D575)</f>
        <v>426</v>
      </c>
      <c r="F576" s="123">
        <f t="shared" si="56"/>
        <v>0</v>
      </c>
      <c r="G576" s="286"/>
    </row>
    <row r="577" spans="1:10">
      <c r="B577" s="237"/>
      <c r="C577" s="47"/>
      <c r="D577" s="162"/>
      <c r="E577" s="159"/>
      <c r="F577" s="120"/>
    </row>
    <row r="578" spans="1:10" ht="38.25">
      <c r="A578" s="267" t="s">
        <v>9</v>
      </c>
      <c r="B578" s="16" t="s">
        <v>527</v>
      </c>
      <c r="C578" s="266" t="s">
        <v>14</v>
      </c>
      <c r="D578" s="268">
        <v>1</v>
      </c>
      <c r="E578" s="35"/>
      <c r="F578" s="123">
        <f>SUM(D578*E578)</f>
        <v>0</v>
      </c>
    </row>
    <row r="579" spans="1:10">
      <c r="B579" s="237"/>
      <c r="C579" s="47"/>
      <c r="D579" s="162"/>
      <c r="E579" s="159"/>
      <c r="F579" s="120"/>
    </row>
    <row r="580" spans="1:10" ht="204">
      <c r="A580" s="47" t="s">
        <v>51</v>
      </c>
      <c r="B580" s="16" t="s">
        <v>447</v>
      </c>
      <c r="F580" s="123"/>
    </row>
    <row r="581" spans="1:10">
      <c r="A581" s="47" t="s">
        <v>208</v>
      </c>
      <c r="B581" s="19" t="s">
        <v>289</v>
      </c>
      <c r="F581" s="123"/>
      <c r="G581" s="288"/>
      <c r="H581" s="289"/>
      <c r="I581" s="295"/>
      <c r="J581" s="274"/>
    </row>
    <row r="582" spans="1:10" ht="14.25">
      <c r="B582" s="24" t="s">
        <v>73</v>
      </c>
      <c r="C582" s="104" t="s">
        <v>74</v>
      </c>
      <c r="D582" s="142">
        <f>D174</f>
        <v>27.84</v>
      </c>
      <c r="E582" s="170"/>
      <c r="F582" s="123">
        <f t="shared" ref="F582:F585" si="57">SUM(D582*E582)</f>
        <v>0</v>
      </c>
      <c r="G582" s="288"/>
      <c r="I582" s="295"/>
      <c r="J582" s="274"/>
    </row>
    <row r="583" spans="1:10" ht="14.25">
      <c r="B583" s="160" t="s">
        <v>448</v>
      </c>
      <c r="C583" s="104" t="s">
        <v>24</v>
      </c>
      <c r="D583" s="142">
        <f>D582*6.06*1.1</f>
        <v>185.58144000000001</v>
      </c>
      <c r="E583" s="170"/>
      <c r="F583" s="123">
        <f t="shared" si="57"/>
        <v>0</v>
      </c>
      <c r="G583" s="288"/>
      <c r="I583" s="295"/>
      <c r="J583" s="274"/>
    </row>
    <row r="584" spans="1:10" ht="25.5">
      <c r="B584" s="100" t="s">
        <v>449</v>
      </c>
      <c r="C584" s="104" t="s">
        <v>24</v>
      </c>
      <c r="D584" s="170">
        <f>D582*12*0.35*0.911</f>
        <v>106.52140799999999</v>
      </c>
      <c r="E584" s="170"/>
      <c r="F584" s="123">
        <f t="shared" si="57"/>
        <v>0</v>
      </c>
      <c r="G584" s="288"/>
      <c r="I584" s="295"/>
      <c r="J584" s="274"/>
    </row>
    <row r="585" spans="1:10" ht="25.5">
      <c r="B585" s="25" t="s">
        <v>99</v>
      </c>
      <c r="C585" s="104" t="s">
        <v>24</v>
      </c>
      <c r="D585" s="142">
        <f>0.25*D583</f>
        <v>46.395360000000004</v>
      </c>
      <c r="E585" s="170"/>
      <c r="F585" s="123">
        <f t="shared" si="57"/>
        <v>0</v>
      </c>
      <c r="G585" s="288"/>
      <c r="I585" s="295"/>
      <c r="J585" s="274"/>
    </row>
    <row r="586" spans="1:10">
      <c r="G586" s="288"/>
      <c r="I586" s="295"/>
      <c r="J586" s="274"/>
    </row>
    <row r="587" spans="1:10" ht="15" customHeight="1">
      <c r="A587" s="47" t="s">
        <v>209</v>
      </c>
      <c r="B587" s="14" t="s">
        <v>290</v>
      </c>
      <c r="G587" s="288"/>
      <c r="I587" s="295"/>
      <c r="J587" s="274"/>
    </row>
    <row r="588" spans="1:10" ht="15" customHeight="1">
      <c r="B588" s="24" t="s">
        <v>73</v>
      </c>
      <c r="C588" s="104" t="s">
        <v>74</v>
      </c>
      <c r="D588" s="132">
        <f>D175</f>
        <v>112</v>
      </c>
      <c r="E588" s="170"/>
      <c r="F588" s="123">
        <f t="shared" ref="F588:F591" si="58">SUM(D588*E588)</f>
        <v>0</v>
      </c>
      <c r="G588" s="288"/>
      <c r="I588" s="295"/>
      <c r="J588" s="274"/>
    </row>
    <row r="589" spans="1:10" ht="14.25">
      <c r="B589" s="160" t="s">
        <v>448</v>
      </c>
      <c r="C589" s="104" t="s">
        <v>24</v>
      </c>
      <c r="D589" s="142">
        <f>D588*6.06*1.1</f>
        <v>746.59199999999998</v>
      </c>
      <c r="E589" s="170"/>
      <c r="F589" s="123">
        <f t="shared" si="58"/>
        <v>0</v>
      </c>
    </row>
    <row r="590" spans="1:10" ht="25.5">
      <c r="B590" s="100" t="s">
        <v>449</v>
      </c>
      <c r="C590" s="104" t="s">
        <v>24</v>
      </c>
      <c r="D590" s="170">
        <f>D588*12*0.35*0.911</f>
        <v>428.53440000000001</v>
      </c>
      <c r="E590" s="170"/>
      <c r="F590" s="123">
        <f t="shared" si="58"/>
        <v>0</v>
      </c>
    </row>
    <row r="591" spans="1:10" ht="25.5">
      <c r="B591" s="25" t="s">
        <v>99</v>
      </c>
      <c r="C591" s="104" t="s">
        <v>24</v>
      </c>
      <c r="D591" s="142">
        <f>0.25*D589</f>
        <v>186.648</v>
      </c>
      <c r="E591" s="170"/>
      <c r="F591" s="123">
        <f t="shared" si="58"/>
        <v>0</v>
      </c>
    </row>
    <row r="592" spans="1:10">
      <c r="B592" s="25"/>
      <c r="C592" s="104"/>
      <c r="D592" s="142"/>
      <c r="E592" s="170"/>
      <c r="F592" s="172"/>
    </row>
    <row r="593" spans="1:6">
      <c r="A593" s="47" t="s">
        <v>345</v>
      </c>
      <c r="B593" s="14" t="s">
        <v>291</v>
      </c>
    </row>
    <row r="594" spans="1:6" ht="14.25">
      <c r="B594" s="24" t="s">
        <v>73</v>
      </c>
      <c r="C594" s="104" t="s">
        <v>74</v>
      </c>
      <c r="D594" s="132">
        <f>D176</f>
        <v>63</v>
      </c>
      <c r="E594" s="170"/>
      <c r="F594" s="123">
        <f t="shared" ref="F594:F597" si="59">SUM(D594*E594)</f>
        <v>0</v>
      </c>
    </row>
    <row r="595" spans="1:6" ht="14.25">
      <c r="B595" s="160" t="s">
        <v>448</v>
      </c>
      <c r="C595" s="104" t="s">
        <v>24</v>
      </c>
      <c r="D595" s="142">
        <f>D594*6.06*1.1</f>
        <v>419.95800000000003</v>
      </c>
      <c r="E595" s="170"/>
      <c r="F595" s="123">
        <f t="shared" si="59"/>
        <v>0</v>
      </c>
    </row>
    <row r="596" spans="1:6" ht="25.5">
      <c r="B596" s="100" t="s">
        <v>449</v>
      </c>
      <c r="C596" s="104" t="s">
        <v>24</v>
      </c>
      <c r="D596" s="170">
        <f>D594*12*0.35*0.911</f>
        <v>241.05059999999997</v>
      </c>
      <c r="E596" s="170"/>
      <c r="F596" s="123">
        <f t="shared" si="59"/>
        <v>0</v>
      </c>
    </row>
    <row r="597" spans="1:6" ht="25.5">
      <c r="B597" s="25" t="s">
        <v>99</v>
      </c>
      <c r="C597" s="104" t="s">
        <v>24</v>
      </c>
      <c r="D597" s="142">
        <f>0.25*D595</f>
        <v>104.98950000000001</v>
      </c>
      <c r="E597" s="170"/>
      <c r="F597" s="123">
        <f t="shared" si="59"/>
        <v>0</v>
      </c>
    </row>
    <row r="598" spans="1:6">
      <c r="B598" s="25"/>
      <c r="C598" s="104"/>
      <c r="D598" s="142"/>
      <c r="E598" s="170"/>
      <c r="F598" s="172"/>
    </row>
    <row r="599" spans="1:6">
      <c r="A599" s="47" t="s">
        <v>235</v>
      </c>
      <c r="B599" s="14" t="s">
        <v>293</v>
      </c>
    </row>
    <row r="600" spans="1:6" ht="14.25">
      <c r="B600" s="24" t="s">
        <v>73</v>
      </c>
      <c r="C600" s="2" t="s">
        <v>64</v>
      </c>
      <c r="D600" s="132">
        <f>D177</f>
        <v>38.5</v>
      </c>
      <c r="E600" s="170"/>
      <c r="F600" s="123">
        <f t="shared" ref="F600:F603" si="60">SUM(D600*E600)</f>
        <v>0</v>
      </c>
    </row>
    <row r="601" spans="1:6" ht="14.25">
      <c r="B601" s="160" t="s">
        <v>448</v>
      </c>
      <c r="C601" s="104" t="s">
        <v>24</v>
      </c>
      <c r="D601" s="142">
        <f>D600*6.06*1.1</f>
        <v>256.64100000000002</v>
      </c>
      <c r="E601" s="170"/>
      <c r="F601" s="123">
        <f t="shared" si="60"/>
        <v>0</v>
      </c>
    </row>
    <row r="602" spans="1:6" ht="25.5">
      <c r="B602" s="100" t="s">
        <v>449</v>
      </c>
      <c r="C602" s="104" t="s">
        <v>24</v>
      </c>
      <c r="D602" s="170">
        <f>D600*12*0.35*0.911</f>
        <v>147.30869999999999</v>
      </c>
      <c r="E602" s="170"/>
      <c r="F602" s="123">
        <f t="shared" si="60"/>
        <v>0</v>
      </c>
    </row>
    <row r="603" spans="1:6" ht="25.5">
      <c r="B603" s="25" t="s">
        <v>99</v>
      </c>
      <c r="C603" s="104" t="s">
        <v>24</v>
      </c>
      <c r="D603" s="142">
        <f>0.25*D601</f>
        <v>64.160250000000005</v>
      </c>
      <c r="E603" s="170"/>
      <c r="F603" s="123">
        <f t="shared" si="60"/>
        <v>0</v>
      </c>
    </row>
    <row r="604" spans="1:6">
      <c r="B604" s="25"/>
      <c r="C604" s="104"/>
      <c r="D604" s="142"/>
      <c r="E604" s="170"/>
      <c r="F604" s="172"/>
    </row>
    <row r="605" spans="1:6">
      <c r="A605" s="47" t="s">
        <v>236</v>
      </c>
      <c r="B605" s="14" t="s">
        <v>292</v>
      </c>
    </row>
    <row r="606" spans="1:6" ht="14.25">
      <c r="B606" s="24" t="s">
        <v>73</v>
      </c>
      <c r="C606" s="2" t="s">
        <v>64</v>
      </c>
      <c r="D606" s="132">
        <f>D178</f>
        <v>63</v>
      </c>
      <c r="E606" s="170"/>
      <c r="F606" s="123">
        <f t="shared" ref="F606:F609" si="61">SUM(D606*E606)</f>
        <v>0</v>
      </c>
    </row>
    <row r="607" spans="1:6" ht="14.25">
      <c r="B607" s="160" t="s">
        <v>448</v>
      </c>
      <c r="C607" s="104" t="s">
        <v>24</v>
      </c>
      <c r="D607" s="142">
        <f>D606*6.06*1.1</f>
        <v>419.95800000000003</v>
      </c>
      <c r="E607" s="170"/>
      <c r="F607" s="123">
        <f t="shared" si="61"/>
        <v>0</v>
      </c>
    </row>
    <row r="608" spans="1:6" ht="25.5">
      <c r="B608" s="100" t="s">
        <v>449</v>
      </c>
      <c r="C608" s="104" t="s">
        <v>24</v>
      </c>
      <c r="D608" s="170">
        <f>D606*12*0.35*0.911</f>
        <v>241.05059999999997</v>
      </c>
      <c r="E608" s="170"/>
      <c r="F608" s="123">
        <f t="shared" si="61"/>
        <v>0</v>
      </c>
    </row>
    <row r="609" spans="1:6" ht="25.5">
      <c r="B609" s="25" t="s">
        <v>99</v>
      </c>
      <c r="C609" s="104" t="s">
        <v>24</v>
      </c>
      <c r="D609" s="142">
        <f>0.25*D607</f>
        <v>104.98950000000001</v>
      </c>
      <c r="E609" s="170"/>
      <c r="F609" s="123">
        <f t="shared" si="61"/>
        <v>0</v>
      </c>
    </row>
    <row r="610" spans="1:6">
      <c r="B610" s="25"/>
      <c r="C610" s="104"/>
      <c r="D610" s="142"/>
      <c r="E610" s="170"/>
      <c r="F610" s="172"/>
    </row>
    <row r="611" spans="1:6">
      <c r="A611" s="47" t="s">
        <v>237</v>
      </c>
      <c r="B611" s="14" t="s">
        <v>294</v>
      </c>
    </row>
    <row r="612" spans="1:6" ht="14.25">
      <c r="B612" s="24" t="s">
        <v>73</v>
      </c>
      <c r="C612" s="2" t="s">
        <v>64</v>
      </c>
      <c r="D612" s="132">
        <f>D179</f>
        <v>108.5</v>
      </c>
      <c r="E612" s="170"/>
      <c r="F612" s="123">
        <f t="shared" ref="F612:F615" si="62">SUM(D612*E612)</f>
        <v>0</v>
      </c>
    </row>
    <row r="613" spans="1:6" ht="14.25">
      <c r="B613" s="160" t="s">
        <v>448</v>
      </c>
      <c r="C613" s="104" t="s">
        <v>24</v>
      </c>
      <c r="D613" s="142">
        <f>D612*6.06*1.1</f>
        <v>723.26100000000008</v>
      </c>
      <c r="E613" s="170"/>
      <c r="F613" s="123">
        <f t="shared" si="62"/>
        <v>0</v>
      </c>
    </row>
    <row r="614" spans="1:6" ht="25.5">
      <c r="B614" s="100" t="s">
        <v>449</v>
      </c>
      <c r="C614" s="104" t="s">
        <v>24</v>
      </c>
      <c r="D614" s="170">
        <f>D612*12*0.35*0.911</f>
        <v>415.14269999999999</v>
      </c>
      <c r="E614" s="170"/>
      <c r="F614" s="123">
        <f t="shared" si="62"/>
        <v>0</v>
      </c>
    </row>
    <row r="615" spans="1:6" ht="25.5">
      <c r="B615" s="25" t="s">
        <v>99</v>
      </c>
      <c r="C615" s="104" t="s">
        <v>24</v>
      </c>
      <c r="D615" s="142">
        <f>0.25*D613</f>
        <v>180.81525000000002</v>
      </c>
      <c r="E615" s="170"/>
      <c r="F615" s="123">
        <f t="shared" si="62"/>
        <v>0</v>
      </c>
    </row>
    <row r="616" spans="1:6">
      <c r="B616" s="25"/>
      <c r="C616" s="104"/>
      <c r="D616" s="142"/>
      <c r="E616" s="170"/>
      <c r="F616" s="172"/>
    </row>
    <row r="617" spans="1:6">
      <c r="A617" s="47" t="s">
        <v>528</v>
      </c>
      <c r="B617" s="14" t="s">
        <v>295</v>
      </c>
    </row>
    <row r="618" spans="1:6" ht="14.25">
      <c r="B618" s="24" t="s">
        <v>73</v>
      </c>
      <c r="C618" s="2" t="s">
        <v>64</v>
      </c>
      <c r="D618" s="132">
        <f>D180</f>
        <v>108.5</v>
      </c>
      <c r="E618" s="170"/>
      <c r="F618" s="123">
        <f t="shared" ref="F618:F621" si="63">SUM(D618*E618)</f>
        <v>0</v>
      </c>
    </row>
    <row r="619" spans="1:6" ht="14.25">
      <c r="B619" s="160" t="s">
        <v>448</v>
      </c>
      <c r="C619" s="104" t="s">
        <v>24</v>
      </c>
      <c r="D619" s="142">
        <f>D618*6.06*1.1</f>
        <v>723.26100000000008</v>
      </c>
      <c r="E619" s="170"/>
      <c r="F619" s="123">
        <f t="shared" si="63"/>
        <v>0</v>
      </c>
    </row>
    <row r="620" spans="1:6" ht="25.5">
      <c r="B620" s="100" t="s">
        <v>449</v>
      </c>
      <c r="C620" s="104" t="s">
        <v>24</v>
      </c>
      <c r="D620" s="170">
        <f>D618*12*0.35*0.911</f>
        <v>415.14269999999999</v>
      </c>
      <c r="E620" s="170"/>
      <c r="F620" s="123">
        <f t="shared" si="63"/>
        <v>0</v>
      </c>
    </row>
    <row r="621" spans="1:6" ht="25.5">
      <c r="B621" s="25" t="s">
        <v>99</v>
      </c>
      <c r="C621" s="104" t="s">
        <v>24</v>
      </c>
      <c r="D621" s="142">
        <f>0.25*D619</f>
        <v>180.81525000000002</v>
      </c>
      <c r="E621" s="170"/>
      <c r="F621" s="123">
        <f t="shared" si="63"/>
        <v>0</v>
      </c>
    </row>
    <row r="622" spans="1:6">
      <c r="B622" s="25"/>
      <c r="C622" s="104"/>
      <c r="D622" s="142"/>
      <c r="E622" s="170"/>
      <c r="F622" s="172"/>
    </row>
    <row r="623" spans="1:6" ht="25.5">
      <c r="B623" s="18" t="s">
        <v>92</v>
      </c>
      <c r="C623" s="173"/>
      <c r="D623" s="174"/>
      <c r="E623" s="174"/>
      <c r="F623" s="175"/>
    </row>
    <row r="624" spans="1:6" ht="38.25">
      <c r="A624" s="47" t="s">
        <v>52</v>
      </c>
      <c r="B624" s="25" t="s">
        <v>347</v>
      </c>
      <c r="C624" s="173"/>
      <c r="D624" s="174"/>
      <c r="E624" s="174"/>
      <c r="F624" s="175"/>
    </row>
    <row r="625" spans="1:8">
      <c r="A625" s="47" t="s">
        <v>232</v>
      </c>
      <c r="B625" s="17" t="s">
        <v>348</v>
      </c>
      <c r="C625" s="104" t="s">
        <v>24</v>
      </c>
      <c r="D625" s="133">
        <f>(21*2)*1*1.242</f>
        <v>52.164000000000001</v>
      </c>
      <c r="E625" s="170"/>
      <c r="F625" s="123">
        <f t="shared" ref="F625:F626" si="64">SUM(D625*E625)</f>
        <v>0</v>
      </c>
    </row>
    <row r="626" spans="1:8">
      <c r="A626" s="47" t="s">
        <v>233</v>
      </c>
      <c r="B626" s="17" t="s">
        <v>349</v>
      </c>
      <c r="C626" s="104" t="s">
        <v>24</v>
      </c>
      <c r="D626" s="133">
        <f>(18*2)*1*1.242</f>
        <v>44.712000000000003</v>
      </c>
      <c r="E626" s="170"/>
      <c r="F626" s="123">
        <f t="shared" si="64"/>
        <v>0</v>
      </c>
    </row>
    <row r="627" spans="1:8">
      <c r="B627" s="17"/>
      <c r="C627" s="104"/>
      <c r="D627" s="133"/>
      <c r="E627" s="170"/>
      <c r="F627" s="172"/>
    </row>
    <row r="628" spans="1:8" ht="25.5">
      <c r="B628" s="3" t="s">
        <v>111</v>
      </c>
      <c r="D628" s="133"/>
      <c r="F628" s="123"/>
    </row>
    <row r="629" spans="1:8" ht="178.5">
      <c r="A629" s="47" t="s">
        <v>53</v>
      </c>
      <c r="B629" s="160" t="s">
        <v>100</v>
      </c>
      <c r="C629" s="176"/>
      <c r="D629" s="177"/>
      <c r="E629" s="178"/>
      <c r="F629" s="123"/>
    </row>
    <row r="630" spans="1:8">
      <c r="A630" s="47" t="s">
        <v>165</v>
      </c>
      <c r="B630" s="32" t="s">
        <v>350</v>
      </c>
      <c r="C630" s="104" t="s">
        <v>24</v>
      </c>
      <c r="D630" s="179">
        <f>1.242*1*310</f>
        <v>385.02</v>
      </c>
      <c r="E630" s="170"/>
      <c r="F630" s="123">
        <f t="shared" ref="F630:F631" si="65">SUM(D630*E630)</f>
        <v>0</v>
      </c>
      <c r="G630" s="279">
        <f>40+40+30+45</f>
        <v>155</v>
      </c>
      <c r="H630" s="279">
        <f>G630*2</f>
        <v>310</v>
      </c>
    </row>
    <row r="631" spans="1:8" ht="15.75" customHeight="1">
      <c r="A631" s="47" t="s">
        <v>166</v>
      </c>
      <c r="B631" s="32" t="s">
        <v>351</v>
      </c>
      <c r="C631" s="104" t="s">
        <v>24</v>
      </c>
      <c r="D631" s="179">
        <f>1.242*1*310</f>
        <v>385.02</v>
      </c>
      <c r="E631" s="170"/>
      <c r="F631" s="123">
        <f t="shared" si="65"/>
        <v>0</v>
      </c>
    </row>
    <row r="632" spans="1:8">
      <c r="B632" s="30"/>
      <c r="C632" s="104"/>
      <c r="D632" s="179"/>
      <c r="E632" s="170"/>
      <c r="F632" s="123"/>
    </row>
    <row r="633" spans="1:8" ht="280.5">
      <c r="A633" s="47" t="s">
        <v>54</v>
      </c>
      <c r="B633" s="160" t="s">
        <v>95</v>
      </c>
      <c r="C633" s="176"/>
      <c r="D633" s="177"/>
      <c r="E633" s="178"/>
      <c r="F633" s="123"/>
    </row>
    <row r="634" spans="1:8" ht="14.25">
      <c r="A634" s="47" t="s">
        <v>204</v>
      </c>
      <c r="B634" s="49" t="s">
        <v>317</v>
      </c>
      <c r="C634" s="104" t="s">
        <v>67</v>
      </c>
      <c r="D634" s="179">
        <f>D223*0.08</f>
        <v>20.8</v>
      </c>
      <c r="E634" s="170"/>
      <c r="F634" s="123">
        <f t="shared" ref="F634:F635" si="66">SUM(D634*E634)</f>
        <v>0</v>
      </c>
    </row>
    <row r="635" spans="1:8" ht="14.25">
      <c r="A635" s="47" t="s">
        <v>205</v>
      </c>
      <c r="B635" s="49" t="s">
        <v>112</v>
      </c>
      <c r="C635" s="104" t="s">
        <v>67</v>
      </c>
      <c r="D635" s="179">
        <f>D228*0.08</f>
        <v>20.8</v>
      </c>
      <c r="E635" s="170"/>
      <c r="F635" s="123">
        <f t="shared" si="66"/>
        <v>0</v>
      </c>
    </row>
    <row r="636" spans="1:8">
      <c r="B636" s="1"/>
      <c r="D636" s="133"/>
      <c r="E636" s="170"/>
      <c r="F636" s="123"/>
    </row>
    <row r="637" spans="1:8" ht="102">
      <c r="A637" s="47" t="s">
        <v>55</v>
      </c>
      <c r="B637" s="160" t="s">
        <v>96</v>
      </c>
      <c r="C637" s="176"/>
      <c r="D637" s="177"/>
      <c r="E637" s="178"/>
      <c r="F637" s="123"/>
    </row>
    <row r="638" spans="1:8">
      <c r="A638" s="47" t="s">
        <v>167</v>
      </c>
      <c r="B638" s="50" t="s">
        <v>450</v>
      </c>
      <c r="C638" s="104" t="s">
        <v>24</v>
      </c>
      <c r="D638" s="179">
        <f>D223*3.03</f>
        <v>787.8</v>
      </c>
      <c r="E638" s="170"/>
      <c r="F638" s="123">
        <f t="shared" ref="F638:F642" si="67">SUM(D638*E638)</f>
        <v>0</v>
      </c>
    </row>
    <row r="639" spans="1:8" ht="38.25">
      <c r="A639" s="47" t="s">
        <v>168</v>
      </c>
      <c r="B639" s="31" t="s">
        <v>529</v>
      </c>
      <c r="C639" s="43" t="s">
        <v>24</v>
      </c>
      <c r="D639" s="269">
        <f>1.5*1.242*(25/0.5)</f>
        <v>93.15</v>
      </c>
      <c r="E639" s="270"/>
      <c r="F639" s="123">
        <f t="shared" si="67"/>
        <v>0</v>
      </c>
    </row>
    <row r="640" spans="1:8">
      <c r="A640" s="47" t="s">
        <v>220</v>
      </c>
      <c r="B640" s="50" t="s">
        <v>451</v>
      </c>
      <c r="C640" s="104" t="s">
        <v>24</v>
      </c>
      <c r="D640" s="179">
        <f>D228*3.03</f>
        <v>787.8</v>
      </c>
      <c r="E640" s="170"/>
      <c r="F640" s="123">
        <f t="shared" si="67"/>
        <v>0</v>
      </c>
    </row>
    <row r="641" spans="1:11" ht="38.25">
      <c r="A641" s="47" t="s">
        <v>221</v>
      </c>
      <c r="B641" s="31" t="s">
        <v>530</v>
      </c>
      <c r="C641" s="43" t="s">
        <v>24</v>
      </c>
      <c r="D641" s="269">
        <f>1.5*1.242*(25/0.5)</f>
        <v>93.15</v>
      </c>
      <c r="E641" s="270"/>
      <c r="F641" s="123">
        <f t="shared" si="67"/>
        <v>0</v>
      </c>
    </row>
    <row r="642" spans="1:11" ht="25.5">
      <c r="A642" s="47" t="s">
        <v>222</v>
      </c>
      <c r="B642" s="180" t="s">
        <v>531</v>
      </c>
      <c r="C642" s="43" t="s">
        <v>24</v>
      </c>
      <c r="D642" s="269">
        <f>2*1.242*(7.67/0.15)</f>
        <v>127.01519999999999</v>
      </c>
      <c r="E642" s="270"/>
      <c r="F642" s="123">
        <f t="shared" si="67"/>
        <v>0</v>
      </c>
    </row>
    <row r="643" spans="1:11">
      <c r="B643" s="181"/>
      <c r="C643" s="104"/>
      <c r="D643" s="179"/>
      <c r="E643" s="170"/>
      <c r="F643" s="123"/>
    </row>
    <row r="644" spans="1:11" ht="140.25">
      <c r="A644" s="47" t="s">
        <v>56</v>
      </c>
      <c r="B644" s="160" t="s">
        <v>97</v>
      </c>
      <c r="C644" s="176"/>
      <c r="D644" s="177"/>
      <c r="E644" s="178"/>
      <c r="F644" s="123"/>
    </row>
    <row r="645" spans="1:11" ht="25.5">
      <c r="A645" s="47" t="s">
        <v>169</v>
      </c>
      <c r="B645" s="32" t="s">
        <v>352</v>
      </c>
      <c r="C645" s="104" t="s">
        <v>24</v>
      </c>
      <c r="D645" s="179">
        <f>0.35*1.242*2200</f>
        <v>956.33999999999992</v>
      </c>
      <c r="E645" s="170"/>
      <c r="F645" s="123">
        <f t="shared" ref="F645:F646" si="68">SUM(D645*E645)</f>
        <v>0</v>
      </c>
      <c r="G645" s="279" t="s">
        <v>98</v>
      </c>
      <c r="I645" s="293">
        <f>5.9*16+3*4.1+5.4*8+7*5.5+5.23*5+4*(4.01+1.7)+5.5*24</f>
        <v>369.39</v>
      </c>
      <c r="J645" s="272" t="s">
        <v>94</v>
      </c>
      <c r="K645">
        <f>I645/0.17</f>
        <v>2172.8823529411761</v>
      </c>
    </row>
    <row r="646" spans="1:11" ht="25.5">
      <c r="A646" s="47" t="s">
        <v>170</v>
      </c>
      <c r="B646" s="32" t="s">
        <v>353</v>
      </c>
      <c r="C646" s="104" t="s">
        <v>24</v>
      </c>
      <c r="D646" s="179">
        <f>0.35*1.242*2200</f>
        <v>956.33999999999992</v>
      </c>
      <c r="E646" s="170"/>
      <c r="F646" s="123">
        <f t="shared" si="68"/>
        <v>0</v>
      </c>
      <c r="G646" s="279" t="s">
        <v>98</v>
      </c>
      <c r="I646" s="293">
        <f>5.9*16+3*4.1+5.4*8+7*5.5+5.23*5+4*(4.01+1.7)+5.5*24</f>
        <v>369.39</v>
      </c>
      <c r="J646" s="272" t="s">
        <v>94</v>
      </c>
      <c r="K646">
        <f>I646/0.17</f>
        <v>2172.8823529411761</v>
      </c>
    </row>
    <row r="647" spans="1:11">
      <c r="B647" s="30"/>
      <c r="C647" s="104"/>
      <c r="D647" s="179"/>
      <c r="E647" s="170"/>
      <c r="F647" s="123"/>
    </row>
    <row r="648" spans="1:11" ht="89.25">
      <c r="A648" s="47" t="s">
        <v>57</v>
      </c>
      <c r="B648" s="25" t="s">
        <v>354</v>
      </c>
      <c r="C648" s="104"/>
      <c r="D648" s="179"/>
      <c r="E648" s="170"/>
      <c r="F648" s="123"/>
    </row>
    <row r="649" spans="1:11" ht="14.25">
      <c r="B649" s="49" t="s">
        <v>355</v>
      </c>
      <c r="C649" s="104" t="s">
        <v>64</v>
      </c>
      <c r="D649" s="179">
        <f>D223</f>
        <v>260</v>
      </c>
      <c r="E649" s="170"/>
      <c r="F649" s="123">
        <f t="shared" ref="F649:F650" si="69">SUM(D649*E649)</f>
        <v>0</v>
      </c>
    </row>
    <row r="650" spans="1:11" ht="14.25">
      <c r="B650" s="49" t="s">
        <v>112</v>
      </c>
      <c r="C650" s="104" t="s">
        <v>64</v>
      </c>
      <c r="D650" s="179">
        <f>D228</f>
        <v>260</v>
      </c>
      <c r="E650" s="170"/>
      <c r="F650" s="123">
        <f t="shared" si="69"/>
        <v>0</v>
      </c>
    </row>
    <row r="651" spans="1:11">
      <c r="B651" s="49"/>
      <c r="C651" s="104"/>
      <c r="D651" s="179"/>
      <c r="E651" s="170"/>
      <c r="F651" s="123"/>
    </row>
    <row r="652" spans="1:11">
      <c r="B652" s="49"/>
      <c r="C652" s="104"/>
      <c r="D652" s="179"/>
      <c r="E652" s="170"/>
      <c r="F652" s="123"/>
    </row>
    <row r="653" spans="1:11">
      <c r="B653" s="49"/>
      <c r="C653" s="104"/>
      <c r="D653" s="179"/>
      <c r="E653" s="170"/>
      <c r="F653" s="123"/>
    </row>
    <row r="654" spans="1:11">
      <c r="B654" s="49"/>
      <c r="C654" s="104"/>
      <c r="D654" s="179"/>
      <c r="E654" s="170"/>
      <c r="F654" s="123"/>
    </row>
    <row r="655" spans="1:11">
      <c r="B655" s="49"/>
      <c r="C655" s="104"/>
      <c r="D655" s="179"/>
      <c r="E655" s="170"/>
      <c r="F655" s="123"/>
    </row>
    <row r="656" spans="1:11">
      <c r="B656" s="49"/>
      <c r="C656" s="104"/>
      <c r="D656" s="179"/>
      <c r="E656" s="170"/>
      <c r="F656" s="123"/>
    </row>
    <row r="657" spans="1:10" ht="38.25">
      <c r="B657" s="19" t="s">
        <v>410</v>
      </c>
      <c r="C657" s="110"/>
      <c r="D657" s="182"/>
      <c r="E657" s="171"/>
      <c r="F657" s="120"/>
    </row>
    <row r="658" spans="1:10" ht="105.75" customHeight="1">
      <c r="A658" s="110" t="s">
        <v>58</v>
      </c>
      <c r="B658" s="160" t="s">
        <v>533</v>
      </c>
      <c r="C658" s="1"/>
      <c r="D658" s="179"/>
      <c r="E658" s="183"/>
      <c r="F658" s="184"/>
    </row>
    <row r="659" spans="1:10" ht="15">
      <c r="B659" s="33" t="s">
        <v>231</v>
      </c>
      <c r="C659" s="169" t="s">
        <v>241</v>
      </c>
      <c r="D659" s="179">
        <f>2*0.2*23*(1.76+2.06)</f>
        <v>35.144000000000005</v>
      </c>
      <c r="E659" s="170"/>
      <c r="F659" s="123">
        <f t="shared" ref="F659:F660" si="70">SUM(D659*E659)</f>
        <v>0</v>
      </c>
    </row>
    <row r="660" spans="1:10">
      <c r="B660" s="51" t="s">
        <v>93</v>
      </c>
      <c r="C660" s="169" t="s">
        <v>24</v>
      </c>
      <c r="D660" s="179">
        <f>150*D659</f>
        <v>5271.6</v>
      </c>
      <c r="E660" s="170"/>
      <c r="F660" s="123">
        <f t="shared" si="70"/>
        <v>0</v>
      </c>
    </row>
    <row r="661" spans="1:10">
      <c r="B661" s="98"/>
      <c r="C661" s="185"/>
      <c r="D661" s="159"/>
      <c r="E661" s="159"/>
      <c r="F661" s="186"/>
    </row>
    <row r="662" spans="1:10" ht="106.5" customHeight="1">
      <c r="A662" s="168" t="s">
        <v>59</v>
      </c>
      <c r="B662" s="160" t="s">
        <v>532</v>
      </c>
      <c r="C662" s="160"/>
      <c r="D662" s="169"/>
      <c r="E662" s="187"/>
      <c r="F662" s="160"/>
    </row>
    <row r="663" spans="1:10" ht="15">
      <c r="A663" s="168"/>
      <c r="B663" s="160" t="s">
        <v>242</v>
      </c>
      <c r="C663" s="169" t="s">
        <v>241</v>
      </c>
      <c r="D663" s="179">
        <f>0.2*27</f>
        <v>5.4</v>
      </c>
      <c r="E663" s="170"/>
      <c r="F663" s="123">
        <f t="shared" ref="F663:F664" si="71">SUM(D663*E663)</f>
        <v>0</v>
      </c>
    </row>
    <row r="664" spans="1:10">
      <c r="A664" s="168"/>
      <c r="B664" s="160" t="s">
        <v>93</v>
      </c>
      <c r="C664" s="169" t="s">
        <v>24</v>
      </c>
      <c r="D664" s="169">
        <f>80*D663</f>
        <v>432</v>
      </c>
      <c r="E664" s="170"/>
      <c r="F664" s="123">
        <f t="shared" si="71"/>
        <v>0</v>
      </c>
    </row>
    <row r="665" spans="1:10">
      <c r="A665" s="168"/>
      <c r="B665" s="160"/>
      <c r="C665" s="169"/>
      <c r="D665" s="169"/>
      <c r="E665" s="170"/>
      <c r="F665" s="184"/>
    </row>
    <row r="666" spans="1:10" ht="102">
      <c r="A666" s="168" t="s">
        <v>60</v>
      </c>
      <c r="B666" s="160" t="s">
        <v>415</v>
      </c>
      <c r="C666" s="160"/>
      <c r="D666" s="169"/>
      <c r="E666" s="187"/>
      <c r="F666" s="160"/>
    </row>
    <row r="667" spans="1:10" s="96" customFormat="1" ht="15">
      <c r="A667" s="168"/>
      <c r="B667" s="160" t="s">
        <v>242</v>
      </c>
      <c r="C667" s="169" t="s">
        <v>241</v>
      </c>
      <c r="D667" s="179">
        <v>20</v>
      </c>
      <c r="E667" s="170"/>
      <c r="F667" s="123">
        <f t="shared" ref="F667:F668" si="72">SUM(D667*E667)</f>
        <v>0</v>
      </c>
      <c r="G667" s="279"/>
      <c r="H667" s="279">
        <f>(5.34+5.87+2*2.26*1.3)*5*0.2</f>
        <v>17.085999999999999</v>
      </c>
      <c r="I667" s="293"/>
      <c r="J667" s="272"/>
    </row>
    <row r="668" spans="1:10" s="96" customFormat="1" ht="14.25" customHeight="1">
      <c r="A668" s="168"/>
      <c r="B668" s="160" t="s">
        <v>93</v>
      </c>
      <c r="C668" s="169" t="s">
        <v>24</v>
      </c>
      <c r="D668" s="169">
        <f>80*D667</f>
        <v>1600</v>
      </c>
      <c r="E668" s="170"/>
      <c r="F668" s="123">
        <f t="shared" si="72"/>
        <v>0</v>
      </c>
      <c r="G668" s="279"/>
      <c r="H668" s="279"/>
      <c r="I668" s="293"/>
      <c r="J668" s="272"/>
    </row>
    <row r="669" spans="1:10" s="96" customFormat="1">
      <c r="A669" s="124"/>
      <c r="B669" s="124"/>
      <c r="C669" s="124"/>
      <c r="D669" s="47"/>
      <c r="E669" s="124"/>
      <c r="F669" s="124"/>
      <c r="G669" s="279"/>
      <c r="H669" s="279"/>
      <c r="I669" s="293"/>
      <c r="J669" s="272"/>
    </row>
    <row r="670" spans="1:10" s="96" customFormat="1" ht="158.25" customHeight="1">
      <c r="A670" s="47" t="s">
        <v>61</v>
      </c>
      <c r="B670" s="32" t="s">
        <v>416</v>
      </c>
      <c r="C670" s="110"/>
      <c r="D670" s="182"/>
      <c r="E670" s="171"/>
      <c r="F670" s="120"/>
      <c r="G670" s="279"/>
      <c r="H670" s="279"/>
      <c r="I670" s="293"/>
      <c r="J670" s="272"/>
    </row>
    <row r="671" spans="1:10" s="96" customFormat="1" ht="25.5">
      <c r="A671" s="47"/>
      <c r="B671" s="99" t="s">
        <v>417</v>
      </c>
      <c r="C671" s="2" t="s">
        <v>24</v>
      </c>
      <c r="D671" s="122">
        <f>1.242*1*96</f>
        <v>119.232</v>
      </c>
      <c r="E671" s="133"/>
      <c r="F671" s="123">
        <f>SUM(D671*E671)</f>
        <v>0</v>
      </c>
      <c r="G671" s="279">
        <f>8*2*1.5*2*2</f>
        <v>96</v>
      </c>
      <c r="H671" s="279"/>
      <c r="I671" s="293"/>
      <c r="J671" s="272"/>
    </row>
    <row r="672" spans="1:10" s="96" customFormat="1">
      <c r="A672" s="124"/>
      <c r="B672" s="124"/>
      <c r="C672" s="124"/>
      <c r="D672" s="47"/>
      <c r="E672" s="124"/>
      <c r="F672" s="124"/>
      <c r="G672" s="279"/>
      <c r="H672" s="279"/>
      <c r="I672" s="293"/>
      <c r="J672" s="272"/>
    </row>
    <row r="673" spans="1:7" ht="28.5" customHeight="1">
      <c r="A673" s="168"/>
      <c r="B673" s="19" t="s">
        <v>320</v>
      </c>
      <c r="C673" s="169"/>
      <c r="D673" s="169"/>
      <c r="E673" s="170"/>
      <c r="F673" s="184"/>
    </row>
    <row r="674" spans="1:7" ht="159" customHeight="1">
      <c r="A674" s="47" t="s">
        <v>62</v>
      </c>
      <c r="B674" s="32" t="s">
        <v>375</v>
      </c>
      <c r="C674" s="110"/>
      <c r="D674" s="182"/>
      <c r="E674" s="171"/>
      <c r="F674" s="120"/>
    </row>
    <row r="675" spans="1:7" ht="25.5">
      <c r="B675" s="99" t="s">
        <v>356</v>
      </c>
      <c r="C675" s="2" t="s">
        <v>24</v>
      </c>
      <c r="D675" s="122">
        <f>1.242*1*150</f>
        <v>186.3</v>
      </c>
      <c r="F675" s="123">
        <f>SUM(D675*E675)</f>
        <v>0</v>
      </c>
      <c r="G675" s="279">
        <f>(21+16)*2*2</f>
        <v>148</v>
      </c>
    </row>
    <row r="676" spans="1:7">
      <c r="A676" s="188"/>
      <c r="B676" s="17"/>
      <c r="C676" s="189"/>
      <c r="D676" s="189"/>
      <c r="F676" s="163"/>
    </row>
    <row r="677" spans="1:7" ht="156.75" customHeight="1">
      <c r="A677" s="47" t="s">
        <v>63</v>
      </c>
      <c r="B677" s="32" t="s">
        <v>376</v>
      </c>
      <c r="C677" s="110"/>
      <c r="D677" s="182"/>
      <c r="E677" s="171"/>
      <c r="F677" s="120"/>
    </row>
    <row r="678" spans="1:7" ht="25.5">
      <c r="A678" s="47" t="s">
        <v>182</v>
      </c>
      <c r="B678" s="99" t="s">
        <v>455</v>
      </c>
      <c r="C678" s="2" t="s">
        <v>24</v>
      </c>
      <c r="D678" s="122">
        <f>1.242*1.3*80</f>
        <v>129.16800000000001</v>
      </c>
      <c r="F678" s="123">
        <f t="shared" ref="F678:F681" si="73">SUM(D678*E678)</f>
        <v>0</v>
      </c>
    </row>
    <row r="679" spans="1:7" ht="25.5">
      <c r="A679" s="47" t="s">
        <v>183</v>
      </c>
      <c r="B679" s="99" t="s">
        <v>456</v>
      </c>
      <c r="C679" s="2" t="s">
        <v>24</v>
      </c>
      <c r="D679" s="122">
        <f>1.242*1.3*80</f>
        <v>129.16800000000001</v>
      </c>
      <c r="F679" s="123">
        <f t="shared" si="73"/>
        <v>0</v>
      </c>
    </row>
    <row r="680" spans="1:7" ht="25.5">
      <c r="A680" s="47" t="s">
        <v>184</v>
      </c>
      <c r="B680" s="99" t="s">
        <v>357</v>
      </c>
      <c r="C680" s="2" t="s">
        <v>24</v>
      </c>
      <c r="D680" s="122">
        <f>1.242*1*80</f>
        <v>99.36</v>
      </c>
      <c r="F680" s="123">
        <f t="shared" si="73"/>
        <v>0</v>
      </c>
    </row>
    <row r="681" spans="1:7" ht="25.5">
      <c r="A681" s="47" t="s">
        <v>185</v>
      </c>
      <c r="B681" s="99" t="s">
        <v>358</v>
      </c>
      <c r="C681" s="2" t="s">
        <v>24</v>
      </c>
      <c r="D681" s="122">
        <f>1.242*1*80</f>
        <v>99.36</v>
      </c>
      <c r="F681" s="123">
        <f t="shared" si="73"/>
        <v>0</v>
      </c>
    </row>
    <row r="682" spans="1:7">
      <c r="A682" s="168"/>
      <c r="B682" s="160"/>
      <c r="C682" s="169"/>
      <c r="D682" s="169"/>
      <c r="E682" s="170"/>
      <c r="F682" s="184"/>
    </row>
    <row r="683" spans="1:7" ht="51">
      <c r="A683" s="47" t="s">
        <v>79</v>
      </c>
      <c r="B683" s="99" t="s">
        <v>452</v>
      </c>
      <c r="D683" s="122"/>
      <c r="F683" s="163"/>
    </row>
    <row r="684" spans="1:7" ht="14.25">
      <c r="B684" s="13" t="s">
        <v>453</v>
      </c>
      <c r="C684" s="2" t="s">
        <v>64</v>
      </c>
      <c r="D684" s="132">
        <v>40</v>
      </c>
      <c r="F684" s="123">
        <f t="shared" ref="F684:F686" si="74">SUM(D684*E684)</f>
        <v>0</v>
      </c>
      <c r="G684" s="279">
        <f>25+15</f>
        <v>40</v>
      </c>
    </row>
    <row r="685" spans="1:7" ht="14.25">
      <c r="B685" s="164" t="s">
        <v>73</v>
      </c>
      <c r="C685" s="2" t="s">
        <v>67</v>
      </c>
      <c r="D685" s="165">
        <f>D684*0.2</f>
        <v>8</v>
      </c>
      <c r="E685" s="165"/>
      <c r="F685" s="123">
        <f t="shared" si="74"/>
        <v>0</v>
      </c>
    </row>
    <row r="686" spans="1:7" ht="14.25">
      <c r="B686" s="166" t="s">
        <v>359</v>
      </c>
      <c r="C686" s="167" t="s">
        <v>24</v>
      </c>
      <c r="D686" s="165">
        <f>120*D685</f>
        <v>960</v>
      </c>
      <c r="E686" s="165"/>
      <c r="F686" s="123">
        <f t="shared" si="74"/>
        <v>0</v>
      </c>
    </row>
    <row r="687" spans="1:7">
      <c r="A687" s="168"/>
      <c r="B687" s="160"/>
      <c r="C687" s="169"/>
      <c r="D687" s="169"/>
      <c r="E687" s="170"/>
      <c r="F687" s="184"/>
    </row>
    <row r="688" spans="1:7" ht="39" customHeight="1">
      <c r="A688" s="47" t="s">
        <v>80</v>
      </c>
      <c r="B688" s="99" t="s">
        <v>377</v>
      </c>
      <c r="D688" s="122"/>
      <c r="F688" s="163"/>
    </row>
    <row r="689" spans="1:6" ht="14.25">
      <c r="A689" s="47" t="s">
        <v>534</v>
      </c>
      <c r="B689" s="13" t="s">
        <v>360</v>
      </c>
      <c r="C689" s="2" t="s">
        <v>64</v>
      </c>
      <c r="D689" s="132">
        <v>15</v>
      </c>
      <c r="F689" s="123">
        <f t="shared" ref="F689:F691" si="75">SUM(D689*E689)</f>
        <v>0</v>
      </c>
    </row>
    <row r="690" spans="1:6" ht="14.25">
      <c r="B690" s="164" t="s">
        <v>73</v>
      </c>
      <c r="C690" s="2" t="s">
        <v>67</v>
      </c>
      <c r="D690" s="165">
        <f>D689*0.2</f>
        <v>3</v>
      </c>
      <c r="E690" s="165"/>
      <c r="F690" s="123">
        <f t="shared" si="75"/>
        <v>0</v>
      </c>
    </row>
    <row r="691" spans="1:6" ht="14.25">
      <c r="B691" s="166" t="s">
        <v>359</v>
      </c>
      <c r="C691" s="167" t="s">
        <v>24</v>
      </c>
      <c r="D691" s="165">
        <f>120*D690</f>
        <v>360</v>
      </c>
      <c r="E691" s="165"/>
      <c r="F691" s="123">
        <f t="shared" si="75"/>
        <v>0</v>
      </c>
    </row>
    <row r="692" spans="1:6">
      <c r="A692" s="168"/>
      <c r="B692" s="160"/>
      <c r="C692" s="169"/>
      <c r="D692" s="169"/>
      <c r="E692" s="170"/>
      <c r="F692" s="184"/>
    </row>
    <row r="693" spans="1:6" ht="14.25">
      <c r="A693" s="47" t="s">
        <v>535</v>
      </c>
      <c r="B693" s="13" t="s">
        <v>362</v>
      </c>
      <c r="C693" s="2" t="s">
        <v>64</v>
      </c>
      <c r="D693" s="132">
        <v>15</v>
      </c>
      <c r="F693" s="123">
        <f t="shared" ref="F693:F695" si="76">SUM(D693*E693)</f>
        <v>0</v>
      </c>
    </row>
    <row r="694" spans="1:6" ht="14.25">
      <c r="B694" s="164" t="s">
        <v>73</v>
      </c>
      <c r="C694" s="2" t="s">
        <v>67</v>
      </c>
      <c r="D694" s="165">
        <f>D693*0.2</f>
        <v>3</v>
      </c>
      <c r="E694" s="165"/>
      <c r="F694" s="123">
        <f t="shared" si="76"/>
        <v>0</v>
      </c>
    </row>
    <row r="695" spans="1:6" ht="14.25">
      <c r="B695" s="166" t="s">
        <v>359</v>
      </c>
      <c r="C695" s="167" t="s">
        <v>24</v>
      </c>
      <c r="D695" s="165">
        <f>120*D694</f>
        <v>360</v>
      </c>
      <c r="E695" s="165"/>
      <c r="F695" s="123">
        <f t="shared" si="76"/>
        <v>0</v>
      </c>
    </row>
    <row r="696" spans="1:6">
      <c r="A696" s="168"/>
      <c r="B696" s="160"/>
      <c r="C696" s="169"/>
      <c r="D696" s="169"/>
      <c r="E696" s="170"/>
      <c r="F696" s="184"/>
    </row>
    <row r="697" spans="1:6" ht="14.25">
      <c r="A697" s="47" t="s">
        <v>536</v>
      </c>
      <c r="B697" s="13" t="s">
        <v>363</v>
      </c>
      <c r="C697" s="2" t="s">
        <v>64</v>
      </c>
      <c r="D697" s="132">
        <v>15</v>
      </c>
      <c r="F697" s="123">
        <f t="shared" ref="F697:F699" si="77">SUM(D697*E697)</f>
        <v>0</v>
      </c>
    </row>
    <row r="698" spans="1:6" ht="14.25">
      <c r="B698" s="164" t="s">
        <v>73</v>
      </c>
      <c r="C698" s="2" t="s">
        <v>67</v>
      </c>
      <c r="D698" s="165">
        <f>D697*0.2</f>
        <v>3</v>
      </c>
      <c r="E698" s="165"/>
      <c r="F698" s="123">
        <f t="shared" si="77"/>
        <v>0</v>
      </c>
    </row>
    <row r="699" spans="1:6" ht="14.25">
      <c r="B699" s="166" t="s">
        <v>359</v>
      </c>
      <c r="C699" s="167" t="s">
        <v>24</v>
      </c>
      <c r="D699" s="165">
        <f>120*D698</f>
        <v>360</v>
      </c>
      <c r="E699" s="165"/>
      <c r="F699" s="123">
        <f t="shared" si="77"/>
        <v>0</v>
      </c>
    </row>
    <row r="700" spans="1:6">
      <c r="A700" s="168"/>
      <c r="B700" s="160"/>
      <c r="C700" s="169"/>
      <c r="D700" s="169"/>
      <c r="E700" s="170"/>
      <c r="F700" s="184"/>
    </row>
    <row r="701" spans="1:6" ht="14.25">
      <c r="A701" s="47" t="s">
        <v>537</v>
      </c>
      <c r="B701" s="13" t="s">
        <v>364</v>
      </c>
      <c r="C701" s="2" t="s">
        <v>64</v>
      </c>
      <c r="D701" s="132">
        <v>15</v>
      </c>
      <c r="F701" s="123">
        <f t="shared" ref="F701:F703" si="78">SUM(D701*E701)</f>
        <v>0</v>
      </c>
    </row>
    <row r="702" spans="1:6" ht="14.25">
      <c r="B702" s="164" t="s">
        <v>73</v>
      </c>
      <c r="C702" s="2" t="s">
        <v>67</v>
      </c>
      <c r="D702" s="165">
        <f>D701*0.2</f>
        <v>3</v>
      </c>
      <c r="E702" s="165"/>
      <c r="F702" s="123">
        <f t="shared" si="78"/>
        <v>0</v>
      </c>
    </row>
    <row r="703" spans="1:6" ht="14.25">
      <c r="B703" s="166" t="s">
        <v>359</v>
      </c>
      <c r="C703" s="167" t="s">
        <v>24</v>
      </c>
      <c r="D703" s="165">
        <f>120*D702</f>
        <v>360</v>
      </c>
      <c r="E703" s="165"/>
      <c r="F703" s="123">
        <f t="shared" si="78"/>
        <v>0</v>
      </c>
    </row>
    <row r="704" spans="1:6">
      <c r="A704" s="168"/>
      <c r="B704" s="160"/>
      <c r="C704" s="169"/>
      <c r="D704" s="169"/>
      <c r="E704" s="170"/>
      <c r="F704" s="184"/>
    </row>
    <row r="705" spans="1:6" ht="76.5">
      <c r="A705" s="47" t="s">
        <v>82</v>
      </c>
      <c r="B705" s="25" t="s">
        <v>383</v>
      </c>
      <c r="C705" s="104"/>
      <c r="D705" s="179"/>
      <c r="E705" s="170"/>
      <c r="F705" s="123"/>
    </row>
    <row r="706" spans="1:6" ht="14.25">
      <c r="A706" s="47" t="s">
        <v>420</v>
      </c>
      <c r="B706" s="50" t="s">
        <v>379</v>
      </c>
      <c r="C706" s="104" t="s">
        <v>64</v>
      </c>
      <c r="D706" s="179">
        <f>D689</f>
        <v>15</v>
      </c>
      <c r="E706" s="170"/>
      <c r="F706" s="123">
        <f t="shared" ref="F706:F709" si="79">SUM(D706*E706)</f>
        <v>0</v>
      </c>
    </row>
    <row r="707" spans="1:6" ht="14.25">
      <c r="A707" s="168" t="s">
        <v>421</v>
      </c>
      <c r="B707" s="50" t="s">
        <v>380</v>
      </c>
      <c r="C707" s="104" t="s">
        <v>64</v>
      </c>
      <c r="D707" s="179">
        <f>D693</f>
        <v>15</v>
      </c>
      <c r="E707" s="170"/>
      <c r="F707" s="123">
        <f t="shared" si="79"/>
        <v>0</v>
      </c>
    </row>
    <row r="708" spans="1:6" ht="14.25">
      <c r="A708" s="168" t="s">
        <v>422</v>
      </c>
      <c r="B708" s="50" t="s">
        <v>381</v>
      </c>
      <c r="C708" s="104" t="s">
        <v>64</v>
      </c>
      <c r="D708" s="179">
        <f>D697</f>
        <v>15</v>
      </c>
      <c r="E708" s="170"/>
      <c r="F708" s="123">
        <f t="shared" si="79"/>
        <v>0</v>
      </c>
    </row>
    <row r="709" spans="1:6" ht="14.25">
      <c r="A709" s="168" t="s">
        <v>423</v>
      </c>
      <c r="B709" s="50" t="s">
        <v>382</v>
      </c>
      <c r="C709" s="104" t="s">
        <v>64</v>
      </c>
      <c r="D709" s="179">
        <f>D701</f>
        <v>15</v>
      </c>
      <c r="E709" s="170"/>
      <c r="F709" s="123">
        <f t="shared" si="79"/>
        <v>0</v>
      </c>
    </row>
    <row r="710" spans="1:6">
      <c r="A710" s="168"/>
      <c r="C710" s="104"/>
    </row>
    <row r="711" spans="1:6">
      <c r="A711" s="168"/>
      <c r="B711" s="160"/>
      <c r="C711" s="169"/>
      <c r="D711" s="169"/>
      <c r="E711" s="170"/>
      <c r="F711" s="184"/>
    </row>
    <row r="712" spans="1:6" ht="237" customHeight="1">
      <c r="A712" s="47" t="s">
        <v>187</v>
      </c>
      <c r="B712" s="99" t="s">
        <v>418</v>
      </c>
      <c r="C712" s="190"/>
      <c r="D712" s="191"/>
      <c r="E712" s="191"/>
      <c r="F712" s="192"/>
    </row>
    <row r="713" spans="1:6" ht="25.5">
      <c r="A713" s="47" t="s">
        <v>188</v>
      </c>
      <c r="B713" s="31" t="s">
        <v>442</v>
      </c>
      <c r="D713" s="133"/>
    </row>
    <row r="714" spans="1:6" ht="14.25">
      <c r="B714" s="99" t="s">
        <v>231</v>
      </c>
      <c r="C714" s="2" t="s">
        <v>67</v>
      </c>
      <c r="D714" s="138">
        <f>21*0.2*0.35</f>
        <v>1.47</v>
      </c>
      <c r="F714" s="123">
        <f t="shared" ref="F714:F715" si="80">SUM(D714*E714)</f>
        <v>0</v>
      </c>
    </row>
    <row r="715" spans="1:6">
      <c r="B715" s="99" t="s">
        <v>373</v>
      </c>
      <c r="C715" s="2" t="s">
        <v>24</v>
      </c>
      <c r="D715" s="138">
        <f>120*D714</f>
        <v>176.4</v>
      </c>
      <c r="F715" s="123">
        <f t="shared" si="80"/>
        <v>0</v>
      </c>
    </row>
    <row r="716" spans="1:6">
      <c r="B716" s="99"/>
      <c r="D716" s="138"/>
      <c r="F716" s="123"/>
    </row>
    <row r="717" spans="1:6" ht="25.5">
      <c r="A717" s="47" t="s">
        <v>189</v>
      </c>
      <c r="B717" s="31" t="s">
        <v>419</v>
      </c>
      <c r="C717" s="2" t="s">
        <v>67</v>
      </c>
      <c r="D717" s="138">
        <f>0.2*12.5*0.35</f>
        <v>0.875</v>
      </c>
      <c r="F717" s="123">
        <f t="shared" ref="F717:F718" si="81">SUM(D717*E717)</f>
        <v>0</v>
      </c>
    </row>
    <row r="718" spans="1:6">
      <c r="B718" s="99" t="s">
        <v>373</v>
      </c>
      <c r="C718" s="2" t="s">
        <v>24</v>
      </c>
      <c r="D718" s="138">
        <f>120*D717</f>
        <v>105</v>
      </c>
      <c r="F718" s="123">
        <f t="shared" si="81"/>
        <v>0</v>
      </c>
    </row>
    <row r="719" spans="1:6">
      <c r="B719" s="193"/>
      <c r="C719" s="47"/>
      <c r="D719" s="119"/>
      <c r="E719" s="159"/>
      <c r="F719" s="120"/>
    </row>
    <row r="720" spans="1:6" ht="103.5" customHeight="1">
      <c r="A720" s="110" t="s">
        <v>191</v>
      </c>
      <c r="B720" s="160" t="s">
        <v>454</v>
      </c>
      <c r="C720" s="1"/>
      <c r="D720" s="179"/>
      <c r="E720" s="183"/>
      <c r="F720" s="184"/>
    </row>
    <row r="721" spans="1:6" ht="15">
      <c r="B721" s="33" t="s">
        <v>231</v>
      </c>
      <c r="C721" s="169" t="s">
        <v>241</v>
      </c>
      <c r="D721" s="179">
        <f>D244*0.2</f>
        <v>1.4000000000000001</v>
      </c>
      <c r="E721" s="170"/>
      <c r="F721" s="123">
        <f t="shared" ref="F721:F722" si="82">SUM(D721*E721)</f>
        <v>0</v>
      </c>
    </row>
    <row r="722" spans="1:6">
      <c r="B722" s="51" t="s">
        <v>93</v>
      </c>
      <c r="C722" s="169" t="s">
        <v>24</v>
      </c>
      <c r="D722" s="179">
        <f>150*D721</f>
        <v>210.00000000000003</v>
      </c>
      <c r="E722" s="170"/>
      <c r="F722" s="123">
        <f t="shared" si="82"/>
        <v>0</v>
      </c>
    </row>
    <row r="723" spans="1:6">
      <c r="B723" s="193"/>
      <c r="C723" s="47"/>
      <c r="D723" s="119"/>
      <c r="E723" s="159"/>
      <c r="F723" s="120"/>
    </row>
    <row r="724" spans="1:6">
      <c r="A724" s="168"/>
      <c r="B724" s="18" t="s">
        <v>324</v>
      </c>
      <c r="C724" s="169"/>
      <c r="D724" s="169"/>
      <c r="E724" s="170"/>
      <c r="F724" s="184"/>
    </row>
    <row r="725" spans="1:6" ht="127.5">
      <c r="A725" s="47" t="s">
        <v>192</v>
      </c>
      <c r="B725" s="17" t="s">
        <v>543</v>
      </c>
      <c r="D725" s="138"/>
      <c r="F725" s="123"/>
    </row>
    <row r="726" spans="1:6">
      <c r="A726" s="47" t="s">
        <v>194</v>
      </c>
      <c r="B726" s="50" t="s">
        <v>365</v>
      </c>
      <c r="D726" s="133"/>
    </row>
    <row r="727" spans="1:6">
      <c r="B727" s="99" t="s">
        <v>457</v>
      </c>
      <c r="C727" s="2" t="s">
        <v>24</v>
      </c>
      <c r="D727" s="138">
        <f>1.621*1.6*30</f>
        <v>77.808000000000007</v>
      </c>
      <c r="F727" s="123">
        <f>SUM(D727*E727)</f>
        <v>0</v>
      </c>
    </row>
    <row r="728" spans="1:6">
      <c r="A728" s="168"/>
      <c r="B728" s="118"/>
      <c r="C728" s="169"/>
      <c r="D728" s="169"/>
      <c r="E728" s="170"/>
      <c r="F728" s="184"/>
    </row>
    <row r="729" spans="1:6">
      <c r="A729" s="47" t="s">
        <v>195</v>
      </c>
      <c r="B729" s="50" t="s">
        <v>366</v>
      </c>
      <c r="D729" s="133"/>
    </row>
    <row r="730" spans="1:6">
      <c r="B730" s="99" t="s">
        <v>457</v>
      </c>
      <c r="C730" s="2" t="s">
        <v>24</v>
      </c>
      <c r="D730" s="138">
        <f>1.621*1.6*30</f>
        <v>77.808000000000007</v>
      </c>
      <c r="F730" s="123">
        <f>SUM(D730*E730)</f>
        <v>0</v>
      </c>
    </row>
    <row r="731" spans="1:6">
      <c r="A731" s="168"/>
      <c r="B731" s="17"/>
      <c r="C731" s="169"/>
      <c r="D731" s="169"/>
      <c r="E731" s="170"/>
      <c r="F731" s="184"/>
    </row>
    <row r="732" spans="1:6">
      <c r="A732" s="47" t="s">
        <v>432</v>
      </c>
      <c r="B732" s="50" t="s">
        <v>367</v>
      </c>
      <c r="D732" s="133"/>
    </row>
    <row r="733" spans="1:6">
      <c r="B733" s="99" t="s">
        <v>457</v>
      </c>
      <c r="C733" s="2" t="s">
        <v>24</v>
      </c>
      <c r="D733" s="138">
        <f>1.621*1.6*30</f>
        <v>77.808000000000007</v>
      </c>
      <c r="F733" s="123">
        <f>SUM(D733*E733)</f>
        <v>0</v>
      </c>
    </row>
    <row r="734" spans="1:6">
      <c r="A734" s="168"/>
      <c r="B734" s="17"/>
      <c r="C734" s="169"/>
      <c r="D734" s="169"/>
      <c r="E734" s="170"/>
      <c r="F734" s="184"/>
    </row>
    <row r="735" spans="1:6">
      <c r="A735" s="47" t="s">
        <v>433</v>
      </c>
      <c r="B735" s="50" t="s">
        <v>368</v>
      </c>
      <c r="D735" s="133"/>
    </row>
    <row r="736" spans="1:6">
      <c r="B736" s="99" t="s">
        <v>457</v>
      </c>
      <c r="C736" s="2" t="s">
        <v>24</v>
      </c>
      <c r="D736" s="138">
        <f>1.621*1.6*30</f>
        <v>77.808000000000007</v>
      </c>
      <c r="F736" s="123">
        <f>SUM(D736*E736)</f>
        <v>0</v>
      </c>
    </row>
    <row r="737" spans="1:8">
      <c r="A737" s="168"/>
      <c r="B737" s="17"/>
      <c r="C737" s="169"/>
      <c r="D737" s="169"/>
      <c r="E737" s="170"/>
      <c r="F737" s="184"/>
    </row>
    <row r="738" spans="1:8">
      <c r="A738" s="47" t="s">
        <v>458</v>
      </c>
      <c r="B738" s="50" t="s">
        <v>369</v>
      </c>
      <c r="D738" s="133"/>
    </row>
    <row r="739" spans="1:8">
      <c r="B739" s="99" t="s">
        <v>457</v>
      </c>
      <c r="C739" s="2" t="s">
        <v>24</v>
      </c>
      <c r="D739" s="138">
        <f>1.621*1.6*30</f>
        <v>77.808000000000007</v>
      </c>
      <c r="F739" s="123">
        <f>SUM(D739*E739)</f>
        <v>0</v>
      </c>
    </row>
    <row r="740" spans="1:8">
      <c r="A740" s="168"/>
      <c r="B740" s="160"/>
      <c r="C740" s="169"/>
      <c r="D740" s="169"/>
      <c r="E740" s="170"/>
      <c r="F740" s="184"/>
    </row>
    <row r="741" spans="1:8" ht="153">
      <c r="A741" s="47" t="s">
        <v>193</v>
      </c>
      <c r="B741" s="17" t="s">
        <v>542</v>
      </c>
      <c r="D741" s="138"/>
      <c r="F741" s="123"/>
    </row>
    <row r="742" spans="1:8">
      <c r="A742" s="47" t="s">
        <v>460</v>
      </c>
      <c r="B742" s="31" t="s">
        <v>424</v>
      </c>
      <c r="D742" s="133"/>
    </row>
    <row r="743" spans="1:8">
      <c r="B743" s="99" t="s">
        <v>426</v>
      </c>
      <c r="C743" s="2" t="s">
        <v>24</v>
      </c>
      <c r="D743" s="138">
        <f>1.242*1.6*46</f>
        <v>91.411200000000008</v>
      </c>
      <c r="F743" s="123">
        <f>SUM(D743*E743)</f>
        <v>0</v>
      </c>
      <c r="G743" s="279">
        <f>5.6/0.5</f>
        <v>11.2</v>
      </c>
    </row>
    <row r="744" spans="1:8">
      <c r="A744" s="168"/>
      <c r="B744" s="160"/>
      <c r="C744" s="169"/>
      <c r="D744" s="169"/>
      <c r="E744" s="170"/>
      <c r="F744" s="184"/>
    </row>
    <row r="745" spans="1:8">
      <c r="A745" s="47" t="s">
        <v>538</v>
      </c>
      <c r="B745" s="31" t="s">
        <v>425</v>
      </c>
      <c r="D745" s="133"/>
    </row>
    <row r="746" spans="1:8">
      <c r="B746" s="99" t="s">
        <v>427</v>
      </c>
      <c r="C746" s="2" t="s">
        <v>24</v>
      </c>
      <c r="D746" s="138">
        <f>1.242*1.4*46</f>
        <v>79.984799999999993</v>
      </c>
      <c r="F746" s="123">
        <f>SUM(D746*E746)</f>
        <v>0</v>
      </c>
    </row>
    <row r="747" spans="1:8">
      <c r="B747" s="99"/>
      <c r="D747" s="138"/>
      <c r="F747" s="123"/>
    </row>
    <row r="748" spans="1:8" ht="142.5" customHeight="1">
      <c r="A748" s="47" t="s">
        <v>539</v>
      </c>
      <c r="B748" s="17" t="s">
        <v>541</v>
      </c>
      <c r="D748" s="138"/>
      <c r="F748" s="123"/>
    </row>
    <row r="749" spans="1:8" ht="25.5">
      <c r="B749" s="99" t="s">
        <v>540</v>
      </c>
      <c r="C749" s="7" t="s">
        <v>24</v>
      </c>
      <c r="D749" s="271">
        <f>1.621*1.2*95</f>
        <v>184.79399999999998</v>
      </c>
      <c r="E749" s="35"/>
      <c r="F749" s="123">
        <f>SUM(D749*E749)</f>
        <v>0</v>
      </c>
      <c r="G749" s="279">
        <f>8.64+5.61</f>
        <v>14.25</v>
      </c>
      <c r="H749" s="279">
        <f>G749/0.15</f>
        <v>95</v>
      </c>
    </row>
    <row r="750" spans="1:8">
      <c r="B750" s="99"/>
      <c r="D750" s="138"/>
      <c r="F750" s="123"/>
    </row>
    <row r="751" spans="1:8" ht="230.25" customHeight="1">
      <c r="A751" s="47" t="s">
        <v>544</v>
      </c>
      <c r="B751" s="99" t="s">
        <v>545</v>
      </c>
      <c r="C751" s="167"/>
      <c r="D751" s="165"/>
      <c r="E751" s="165"/>
      <c r="F751" s="175"/>
    </row>
    <row r="752" spans="1:8">
      <c r="A752" s="47" t="s">
        <v>546</v>
      </c>
      <c r="B752" s="50" t="s">
        <v>365</v>
      </c>
      <c r="D752" s="133"/>
    </row>
    <row r="753" spans="1:6" ht="14.25">
      <c r="B753" s="99" t="s">
        <v>231</v>
      </c>
      <c r="C753" s="2" t="s">
        <v>67</v>
      </c>
      <c r="D753" s="138">
        <f>10.5*0.75*0.65</f>
        <v>5.1187500000000004</v>
      </c>
      <c r="F753" s="123">
        <f t="shared" ref="F753:F754" si="83">SUM(D753*E753)</f>
        <v>0</v>
      </c>
    </row>
    <row r="754" spans="1:6">
      <c r="B754" s="99" t="s">
        <v>93</v>
      </c>
      <c r="C754" s="2" t="s">
        <v>24</v>
      </c>
      <c r="D754" s="138">
        <f>200*D753</f>
        <v>1023.7500000000001</v>
      </c>
      <c r="F754" s="123">
        <f t="shared" si="83"/>
        <v>0</v>
      </c>
    </row>
    <row r="755" spans="1:6">
      <c r="B755" s="99"/>
      <c r="D755" s="138"/>
      <c r="F755" s="123"/>
    </row>
    <row r="756" spans="1:6">
      <c r="A756" s="47" t="s">
        <v>547</v>
      </c>
      <c r="B756" s="50" t="s">
        <v>366</v>
      </c>
      <c r="D756" s="133"/>
    </row>
    <row r="757" spans="1:6" ht="14.25">
      <c r="B757" s="99" t="s">
        <v>231</v>
      </c>
      <c r="C757" s="2" t="s">
        <v>67</v>
      </c>
      <c r="D757" s="138">
        <f>10.5*0.75*0.65</f>
        <v>5.1187500000000004</v>
      </c>
      <c r="F757" s="123">
        <f t="shared" ref="F757:F758" si="84">SUM(D757*E757)</f>
        <v>0</v>
      </c>
    </row>
    <row r="758" spans="1:6">
      <c r="B758" s="99" t="s">
        <v>93</v>
      </c>
      <c r="C758" s="2" t="s">
        <v>24</v>
      </c>
      <c r="D758" s="138">
        <f>200*D757</f>
        <v>1023.7500000000001</v>
      </c>
      <c r="F758" s="123">
        <f t="shared" si="84"/>
        <v>0</v>
      </c>
    </row>
    <row r="759" spans="1:6">
      <c r="B759" s="99"/>
      <c r="D759" s="138"/>
      <c r="F759" s="123"/>
    </row>
    <row r="760" spans="1:6">
      <c r="A760" s="47" t="s">
        <v>548</v>
      </c>
      <c r="B760" s="50" t="s">
        <v>367</v>
      </c>
      <c r="D760" s="133"/>
    </row>
    <row r="761" spans="1:6" ht="14.25">
      <c r="B761" s="99" t="s">
        <v>231</v>
      </c>
      <c r="C761" s="2" t="s">
        <v>67</v>
      </c>
      <c r="D761" s="138">
        <f>10.5*0.75*0.65</f>
        <v>5.1187500000000004</v>
      </c>
      <c r="F761" s="123">
        <f t="shared" ref="F761:F762" si="85">SUM(D761*E761)</f>
        <v>0</v>
      </c>
    </row>
    <row r="762" spans="1:6">
      <c r="B762" s="99" t="s">
        <v>93</v>
      </c>
      <c r="C762" s="2" t="s">
        <v>24</v>
      </c>
      <c r="D762" s="138">
        <f>200*D761</f>
        <v>1023.7500000000001</v>
      </c>
      <c r="F762" s="123">
        <f t="shared" si="85"/>
        <v>0</v>
      </c>
    </row>
    <row r="763" spans="1:6">
      <c r="B763" s="99"/>
      <c r="D763" s="138"/>
      <c r="F763" s="123"/>
    </row>
    <row r="764" spans="1:6">
      <c r="A764" s="47" t="s">
        <v>549</v>
      </c>
      <c r="B764" s="50" t="s">
        <v>368</v>
      </c>
      <c r="D764" s="133"/>
    </row>
    <row r="765" spans="1:6" ht="14.25">
      <c r="B765" s="99" t="s">
        <v>231</v>
      </c>
      <c r="C765" s="2" t="s">
        <v>67</v>
      </c>
      <c r="D765" s="138">
        <f>10.5*0.75*0.65</f>
        <v>5.1187500000000004</v>
      </c>
      <c r="F765" s="123">
        <f t="shared" ref="F765:F766" si="86">SUM(D765*E765)</f>
        <v>0</v>
      </c>
    </row>
    <row r="766" spans="1:6">
      <c r="B766" s="99" t="s">
        <v>93</v>
      </c>
      <c r="C766" s="2" t="s">
        <v>24</v>
      </c>
      <c r="D766" s="138">
        <f>200*D765</f>
        <v>1023.7500000000001</v>
      </c>
      <c r="F766" s="123">
        <f t="shared" si="86"/>
        <v>0</v>
      </c>
    </row>
    <row r="767" spans="1:6">
      <c r="B767" s="99"/>
      <c r="D767" s="138"/>
      <c r="F767" s="123"/>
    </row>
    <row r="768" spans="1:6">
      <c r="A768" s="47" t="s">
        <v>550</v>
      </c>
      <c r="B768" s="50" t="s">
        <v>369</v>
      </c>
      <c r="D768" s="133"/>
    </row>
    <row r="769" spans="1:7" ht="14.25">
      <c r="B769" s="99" t="s">
        <v>231</v>
      </c>
      <c r="C769" s="2" t="s">
        <v>67</v>
      </c>
      <c r="D769" s="138">
        <f>10.5*0.75*0.65</f>
        <v>5.1187500000000004</v>
      </c>
      <c r="F769" s="123">
        <f t="shared" ref="F769:F770" si="87">SUM(D769*E769)</f>
        <v>0</v>
      </c>
    </row>
    <row r="770" spans="1:7">
      <c r="B770" s="99" t="s">
        <v>93</v>
      </c>
      <c r="C770" s="2" t="s">
        <v>24</v>
      </c>
      <c r="D770" s="138">
        <f>200*D769</f>
        <v>1023.7500000000001</v>
      </c>
      <c r="F770" s="123">
        <f t="shared" si="87"/>
        <v>0</v>
      </c>
    </row>
    <row r="771" spans="1:7">
      <c r="B771" s="99"/>
      <c r="D771" s="138"/>
      <c r="F771" s="123"/>
    </row>
    <row r="772" spans="1:7" ht="215.25" customHeight="1">
      <c r="A772" s="47" t="s">
        <v>551</v>
      </c>
      <c r="B772" s="99" t="s">
        <v>558</v>
      </c>
      <c r="C772" s="167"/>
      <c r="D772" s="165"/>
      <c r="E772" s="165"/>
      <c r="F772" s="175"/>
    </row>
    <row r="773" spans="1:7" ht="25.5">
      <c r="A773" s="47" t="s">
        <v>553</v>
      </c>
      <c r="B773" s="31" t="s">
        <v>552</v>
      </c>
      <c r="D773" s="133"/>
    </row>
    <row r="774" spans="1:7" ht="14.25">
      <c r="B774" s="99" t="s">
        <v>231</v>
      </c>
      <c r="C774" s="2" t="s">
        <v>67</v>
      </c>
      <c r="D774" s="138">
        <f>0.75*0.75*4.66</f>
        <v>2.6212499999999999</v>
      </c>
      <c r="F774" s="123">
        <f t="shared" ref="F774:F775" si="88">SUM(D774*E774)</f>
        <v>0</v>
      </c>
      <c r="G774" s="279">
        <f>17.38-3*0.75</f>
        <v>15.129999999999999</v>
      </c>
    </row>
    <row r="775" spans="1:7">
      <c r="B775" s="99" t="s">
        <v>372</v>
      </c>
      <c r="C775" s="2" t="s">
        <v>24</v>
      </c>
      <c r="D775" s="138">
        <f>150*D774</f>
        <v>393.1875</v>
      </c>
      <c r="F775" s="123">
        <f t="shared" si="88"/>
        <v>0</v>
      </c>
    </row>
    <row r="776" spans="1:7">
      <c r="A776" s="168"/>
      <c r="B776" s="180"/>
      <c r="C776" s="169"/>
      <c r="D776" s="169"/>
      <c r="E776" s="170"/>
      <c r="F776" s="184"/>
    </row>
    <row r="777" spans="1:7" ht="25.5">
      <c r="A777" s="47" t="s">
        <v>554</v>
      </c>
      <c r="B777" s="31" t="s">
        <v>428</v>
      </c>
      <c r="D777" s="133"/>
    </row>
    <row r="778" spans="1:7" ht="14.25">
      <c r="B778" s="99" t="s">
        <v>231</v>
      </c>
      <c r="C778" s="2" t="s">
        <v>67</v>
      </c>
      <c r="D778" s="138">
        <f>0.75*0.75*19</f>
        <v>10.6875</v>
      </c>
      <c r="F778" s="123">
        <f t="shared" ref="F778:F779" si="89">SUM(D778*E778)</f>
        <v>0</v>
      </c>
    </row>
    <row r="779" spans="1:7">
      <c r="B779" s="99" t="s">
        <v>372</v>
      </c>
      <c r="C779" s="2" t="s">
        <v>24</v>
      </c>
      <c r="D779" s="138">
        <f>150*D778</f>
        <v>1603.125</v>
      </c>
      <c r="F779" s="123">
        <f t="shared" si="89"/>
        <v>0</v>
      </c>
    </row>
    <row r="780" spans="1:7">
      <c r="A780" s="168"/>
      <c r="B780" s="180"/>
      <c r="C780" s="169"/>
      <c r="D780" s="169"/>
      <c r="E780" s="170"/>
      <c r="F780" s="184"/>
    </row>
    <row r="781" spans="1:7" ht="12.75" customHeight="1">
      <c r="A781" s="47" t="s">
        <v>555</v>
      </c>
      <c r="B781" s="31" t="s">
        <v>429</v>
      </c>
      <c r="D781" s="133"/>
    </row>
    <row r="782" spans="1:7" ht="14.25">
      <c r="B782" s="99" t="s">
        <v>231</v>
      </c>
      <c r="C782" s="2" t="s">
        <v>67</v>
      </c>
      <c r="D782" s="138">
        <f>0.75*0.75*19</f>
        <v>10.6875</v>
      </c>
      <c r="F782" s="123">
        <f t="shared" ref="F782:F783" si="90">SUM(D782*E782)</f>
        <v>0</v>
      </c>
    </row>
    <row r="783" spans="1:7">
      <c r="B783" s="99" t="s">
        <v>373</v>
      </c>
      <c r="C783" s="2" t="s">
        <v>24</v>
      </c>
      <c r="D783" s="138">
        <f>150*D782</f>
        <v>1603.125</v>
      </c>
      <c r="F783" s="123">
        <f t="shared" si="90"/>
        <v>0</v>
      </c>
    </row>
    <row r="784" spans="1:7">
      <c r="B784" s="180"/>
      <c r="C784" s="169"/>
      <c r="D784" s="169"/>
      <c r="E784" s="170"/>
      <c r="F784" s="184"/>
    </row>
    <row r="785" spans="1:9" ht="17.25" customHeight="1">
      <c r="A785" s="47" t="s">
        <v>556</v>
      </c>
      <c r="B785" s="31" t="s">
        <v>430</v>
      </c>
      <c r="D785" s="133"/>
    </row>
    <row r="786" spans="1:9" ht="14.25">
      <c r="B786" s="99" t="s">
        <v>231</v>
      </c>
      <c r="C786" s="2" t="s">
        <v>67</v>
      </c>
      <c r="D786" s="138">
        <f>0.75*0.75*19</f>
        <v>10.6875</v>
      </c>
      <c r="F786" s="123">
        <f t="shared" ref="F786:F788" si="91">SUM(D786*E786)</f>
        <v>0</v>
      </c>
    </row>
    <row r="787" spans="1:9">
      <c r="B787" s="99" t="s">
        <v>373</v>
      </c>
      <c r="C787" s="2" t="s">
        <v>24</v>
      </c>
      <c r="D787" s="138">
        <f>150*D786</f>
        <v>1603.125</v>
      </c>
      <c r="F787" s="123">
        <f t="shared" si="91"/>
        <v>0</v>
      </c>
    </row>
    <row r="788" spans="1:9" ht="27.75" customHeight="1">
      <c r="B788" s="99" t="s">
        <v>434</v>
      </c>
      <c r="C788" s="2" t="s">
        <v>24</v>
      </c>
      <c r="D788" s="138">
        <f>0.25*D787</f>
        <v>400.78125</v>
      </c>
      <c r="F788" s="123">
        <f t="shared" si="91"/>
        <v>0</v>
      </c>
    </row>
    <row r="789" spans="1:9">
      <c r="B789" s="180"/>
      <c r="C789" s="169"/>
      <c r="D789" s="169"/>
      <c r="E789" s="170"/>
      <c r="F789" s="184"/>
    </row>
    <row r="790" spans="1:9" ht="15.75" customHeight="1">
      <c r="A790" s="47" t="s">
        <v>557</v>
      </c>
      <c r="B790" s="31" t="s">
        <v>431</v>
      </c>
      <c r="D790" s="133"/>
    </row>
    <row r="791" spans="1:9" ht="14.25">
      <c r="B791" s="99" t="s">
        <v>231</v>
      </c>
      <c r="C791" s="2" t="s">
        <v>67</v>
      </c>
      <c r="D791" s="138">
        <f>0.75*0.75*19</f>
        <v>10.6875</v>
      </c>
      <c r="F791" s="123">
        <f t="shared" ref="F791:F793" si="92">SUM(D791*E791)</f>
        <v>0</v>
      </c>
    </row>
    <row r="792" spans="1:9">
      <c r="B792" s="99" t="s">
        <v>373</v>
      </c>
      <c r="C792" s="2" t="s">
        <v>24</v>
      </c>
      <c r="D792" s="138">
        <f>150*D791</f>
        <v>1603.125</v>
      </c>
      <c r="F792" s="123">
        <f t="shared" si="92"/>
        <v>0</v>
      </c>
    </row>
    <row r="793" spans="1:9" ht="27" customHeight="1">
      <c r="B793" s="99" t="s">
        <v>435</v>
      </c>
      <c r="C793" s="2" t="s">
        <v>24</v>
      </c>
      <c r="D793" s="138">
        <f>0.25*D792</f>
        <v>400.78125</v>
      </c>
      <c r="F793" s="123">
        <f t="shared" si="92"/>
        <v>0</v>
      </c>
    </row>
    <row r="794" spans="1:9">
      <c r="A794" s="168"/>
      <c r="B794" s="180"/>
      <c r="C794" s="169"/>
      <c r="D794" s="169"/>
      <c r="E794" s="170"/>
      <c r="F794" s="184"/>
    </row>
    <row r="795" spans="1:9" ht="114.75" customHeight="1">
      <c r="A795" s="110" t="s">
        <v>559</v>
      </c>
      <c r="B795" s="160" t="s">
        <v>560</v>
      </c>
      <c r="C795" s="1"/>
      <c r="D795" s="179"/>
      <c r="E795" s="183"/>
      <c r="F795" s="184"/>
    </row>
    <row r="796" spans="1:9">
      <c r="B796" s="13" t="s">
        <v>461</v>
      </c>
    </row>
    <row r="797" spans="1:9" ht="15">
      <c r="B797" s="33" t="s">
        <v>231</v>
      </c>
      <c r="C797" s="169" t="s">
        <v>241</v>
      </c>
      <c r="D797" s="179">
        <f>0.28*12</f>
        <v>3.3600000000000003</v>
      </c>
      <c r="E797" s="170"/>
      <c r="F797" s="123">
        <f t="shared" ref="F797:F798" si="93">SUM(D797*E797)</f>
        <v>0</v>
      </c>
    </row>
    <row r="798" spans="1:9">
      <c r="A798" s="168"/>
      <c r="B798" s="51" t="s">
        <v>93</v>
      </c>
      <c r="C798" s="169" t="s">
        <v>24</v>
      </c>
      <c r="D798" s="179">
        <f>150*D797</f>
        <v>504.00000000000006</v>
      </c>
      <c r="E798" s="170"/>
      <c r="F798" s="123">
        <f t="shared" si="93"/>
        <v>0</v>
      </c>
      <c r="I798" s="296"/>
    </row>
    <row r="799" spans="1:9">
      <c r="A799" s="168"/>
      <c r="B799" s="51"/>
      <c r="C799" s="169"/>
      <c r="D799" s="179"/>
      <c r="E799" s="170"/>
      <c r="F799" s="184"/>
      <c r="I799" s="296"/>
    </row>
    <row r="800" spans="1:9">
      <c r="A800" s="168"/>
      <c r="B800" s="51"/>
      <c r="C800" s="169"/>
      <c r="D800" s="179"/>
      <c r="E800" s="170"/>
      <c r="F800" s="184"/>
      <c r="I800" s="296"/>
    </row>
    <row r="801" spans="1:6">
      <c r="A801" s="55"/>
      <c r="B801" s="15" t="s">
        <v>34</v>
      </c>
      <c r="C801" s="152"/>
      <c r="D801" s="146"/>
      <c r="E801" s="147"/>
      <c r="F801" s="148">
        <f>SUM(F551:F799)</f>
        <v>0</v>
      </c>
    </row>
    <row r="802" spans="1:6">
      <c r="B802" s="16"/>
      <c r="F802" s="123"/>
    </row>
    <row r="803" spans="1:6">
      <c r="B803" s="16"/>
      <c r="F803" s="123"/>
    </row>
    <row r="804" spans="1:6">
      <c r="B804" s="16"/>
      <c r="F804" s="123"/>
    </row>
    <row r="805" spans="1:6">
      <c r="B805" s="16"/>
      <c r="F805" s="123"/>
    </row>
    <row r="806" spans="1:6">
      <c r="B806" s="16"/>
      <c r="F806" s="123"/>
    </row>
    <row r="807" spans="1:6">
      <c r="B807" s="16"/>
      <c r="F807" s="123"/>
    </row>
    <row r="808" spans="1:6">
      <c r="B808" s="16"/>
      <c r="F808" s="123"/>
    </row>
    <row r="809" spans="1:6">
      <c r="B809" s="16"/>
      <c r="F809" s="123"/>
    </row>
    <row r="810" spans="1:6">
      <c r="B810" s="16"/>
      <c r="F810" s="123"/>
    </row>
    <row r="811" spans="1:6">
      <c r="B811" s="16"/>
      <c r="F811" s="123"/>
    </row>
    <row r="812" spans="1:6">
      <c r="B812" s="16"/>
      <c r="F812" s="123"/>
    </row>
    <row r="813" spans="1:6">
      <c r="B813" s="16"/>
      <c r="F813" s="123"/>
    </row>
    <row r="814" spans="1:6">
      <c r="B814" s="16"/>
      <c r="F814" s="123"/>
    </row>
    <row r="815" spans="1:6">
      <c r="B815" s="16"/>
      <c r="F815" s="123"/>
    </row>
    <row r="816" spans="1:6">
      <c r="B816" s="16"/>
      <c r="F816" s="123"/>
    </row>
    <row r="817" spans="2:6">
      <c r="B817" s="16"/>
      <c r="F817" s="123"/>
    </row>
    <row r="818" spans="2:6">
      <c r="B818" s="16"/>
      <c r="F818" s="123"/>
    </row>
    <row r="819" spans="2:6">
      <c r="B819" s="16"/>
      <c r="F819" s="123"/>
    </row>
    <row r="820" spans="2:6">
      <c r="B820" s="16"/>
      <c r="F820" s="123"/>
    </row>
    <row r="821" spans="2:6">
      <c r="B821" s="16"/>
      <c r="F821" s="123"/>
    </row>
    <row r="822" spans="2:6">
      <c r="B822" s="16"/>
      <c r="F822" s="123"/>
    </row>
    <row r="823" spans="2:6">
      <c r="B823" s="16"/>
      <c r="F823" s="123"/>
    </row>
    <row r="824" spans="2:6">
      <c r="B824" s="16"/>
      <c r="F824" s="123"/>
    </row>
    <row r="825" spans="2:6">
      <c r="B825" s="16"/>
      <c r="F825" s="123"/>
    </row>
    <row r="826" spans="2:6">
      <c r="B826" s="16"/>
      <c r="F826" s="123"/>
    </row>
    <row r="827" spans="2:6">
      <c r="B827" s="16"/>
      <c r="F827" s="123"/>
    </row>
    <row r="828" spans="2:6">
      <c r="B828" s="16"/>
      <c r="F828" s="123"/>
    </row>
    <row r="829" spans="2:6">
      <c r="B829" s="16"/>
      <c r="F829" s="123"/>
    </row>
    <row r="830" spans="2:6">
      <c r="B830" s="16"/>
      <c r="F830" s="123"/>
    </row>
    <row r="831" spans="2:6">
      <c r="B831" s="16"/>
      <c r="F831" s="123"/>
    </row>
    <row r="832" spans="2:6">
      <c r="B832" s="16"/>
      <c r="F832" s="123"/>
    </row>
    <row r="833" spans="1:15">
      <c r="B833" s="16"/>
      <c r="F833" s="123"/>
    </row>
    <row r="834" spans="1:15">
      <c r="B834" s="16"/>
      <c r="F834" s="123"/>
    </row>
    <row r="835" spans="1:15">
      <c r="B835" s="16"/>
      <c r="F835" s="123"/>
    </row>
    <row r="836" spans="1:15">
      <c r="B836" s="16"/>
      <c r="F836" s="123"/>
    </row>
    <row r="837" spans="1:15">
      <c r="B837" s="16"/>
      <c r="F837" s="123"/>
    </row>
    <row r="838" spans="1:15">
      <c r="A838" s="106" t="s">
        <v>13</v>
      </c>
      <c r="B838" s="15" t="s">
        <v>46</v>
      </c>
      <c r="C838" s="102" t="s">
        <v>32</v>
      </c>
      <c r="D838" s="135" t="s">
        <v>0</v>
      </c>
      <c r="E838" s="136" t="s">
        <v>31</v>
      </c>
      <c r="F838" s="137" t="s">
        <v>1</v>
      </c>
    </row>
    <row r="839" spans="1:15">
      <c r="F839" s="123"/>
    </row>
    <row r="840" spans="1:15">
      <c r="B840" s="18" t="s">
        <v>563</v>
      </c>
      <c r="F840" s="123"/>
    </row>
    <row r="841" spans="1:15" ht="114.75">
      <c r="A841" s="47" t="s">
        <v>2</v>
      </c>
      <c r="B841" s="17" t="s">
        <v>561</v>
      </c>
      <c r="F841" s="123"/>
      <c r="G841" s="290"/>
      <c r="H841" s="290"/>
      <c r="I841" s="297"/>
      <c r="J841" s="275"/>
      <c r="K841" s="117"/>
      <c r="L841" s="117"/>
      <c r="M841" s="117"/>
      <c r="N841" s="117"/>
      <c r="O841" s="117"/>
    </row>
    <row r="842" spans="1:15" ht="13.5" customHeight="1">
      <c r="B842" s="17" t="s">
        <v>562</v>
      </c>
      <c r="C842" s="104" t="s">
        <v>64</v>
      </c>
      <c r="D842" s="138">
        <f>0.3*8.5</f>
        <v>2.5499999999999998</v>
      </c>
      <c r="E842" s="122"/>
      <c r="F842" s="123">
        <f>SUM(D842*E842)</f>
        <v>0</v>
      </c>
      <c r="G842" s="290"/>
      <c r="H842" s="290"/>
      <c r="I842" s="297"/>
      <c r="J842" s="275"/>
      <c r="K842" s="117"/>
      <c r="L842" s="117"/>
      <c r="M842" s="117"/>
      <c r="N842" s="117"/>
      <c r="O842" s="117"/>
    </row>
    <row r="843" spans="1:15" ht="15" customHeight="1">
      <c r="B843" s="194"/>
      <c r="C843" s="47"/>
      <c r="D843" s="162"/>
      <c r="E843" s="159"/>
      <c r="F843" s="120"/>
      <c r="G843" s="290"/>
      <c r="H843" s="290"/>
      <c r="I843" s="297"/>
      <c r="J843" s="275"/>
      <c r="K843" s="117"/>
      <c r="L843" s="117"/>
      <c r="M843" s="117"/>
      <c r="N843" s="117"/>
      <c r="O843" s="117"/>
    </row>
    <row r="844" spans="1:15" ht="25.5" customHeight="1">
      <c r="B844" s="18" t="s">
        <v>111</v>
      </c>
      <c r="F844" s="123"/>
      <c r="G844" s="290"/>
      <c r="H844" s="290"/>
      <c r="I844" s="297"/>
      <c r="J844" s="275"/>
      <c r="K844" s="117"/>
      <c r="L844" s="117"/>
      <c r="M844" s="117"/>
      <c r="N844" s="117"/>
      <c r="O844" s="117"/>
    </row>
    <row r="845" spans="1:15" ht="79.5" customHeight="1">
      <c r="A845" s="47" t="s">
        <v>3</v>
      </c>
      <c r="B845" s="17" t="s">
        <v>101</v>
      </c>
      <c r="C845" s="126"/>
      <c r="D845" s="121"/>
      <c r="E845" s="127"/>
      <c r="F845" s="128"/>
      <c r="G845" s="290"/>
      <c r="H845" s="290"/>
      <c r="I845" s="297"/>
      <c r="J845" s="275"/>
      <c r="K845" s="117"/>
      <c r="L845" s="117"/>
      <c r="M845" s="117"/>
      <c r="N845" s="117"/>
      <c r="O845" s="117"/>
    </row>
    <row r="846" spans="1:15" ht="14.25" customHeight="1">
      <c r="A846" s="47" t="s">
        <v>126</v>
      </c>
      <c r="B846" s="13" t="s">
        <v>374</v>
      </c>
      <c r="C846" s="104" t="s">
        <v>64</v>
      </c>
      <c r="D846" s="121">
        <f>D223</f>
        <v>260</v>
      </c>
      <c r="E846" s="122"/>
      <c r="F846" s="123">
        <f t="shared" ref="F846:F847" si="94">SUM(D846*E846)</f>
        <v>0</v>
      </c>
      <c r="H846" s="290"/>
      <c r="I846" s="297"/>
      <c r="J846" s="275"/>
      <c r="K846" s="117"/>
      <c r="L846" s="117"/>
      <c r="M846" s="117"/>
      <c r="N846" s="117"/>
      <c r="O846" s="117"/>
    </row>
    <row r="847" spans="1:15" ht="14.25" customHeight="1">
      <c r="A847" s="47" t="s">
        <v>127</v>
      </c>
      <c r="B847" s="13" t="s">
        <v>243</v>
      </c>
      <c r="C847" s="104" t="s">
        <v>64</v>
      </c>
      <c r="D847" s="121">
        <f>D228</f>
        <v>260</v>
      </c>
      <c r="E847" s="122"/>
      <c r="F847" s="123">
        <f t="shared" si="94"/>
        <v>0</v>
      </c>
      <c r="G847" s="290"/>
      <c r="H847" s="290"/>
      <c r="I847" s="297"/>
      <c r="J847" s="275"/>
      <c r="K847" s="117"/>
      <c r="L847" s="117"/>
      <c r="M847" s="117"/>
      <c r="N847" s="117"/>
      <c r="O847" s="117"/>
    </row>
    <row r="848" spans="1:15" ht="12.75" customHeight="1">
      <c r="B848" s="157"/>
      <c r="C848" s="126"/>
      <c r="D848" s="121"/>
      <c r="E848" s="127"/>
      <c r="F848" s="123"/>
      <c r="G848" s="290"/>
      <c r="H848" s="290"/>
      <c r="I848" s="297"/>
      <c r="J848" s="275"/>
      <c r="K848" s="117"/>
      <c r="L848" s="117"/>
      <c r="M848" s="117"/>
      <c r="N848" s="117"/>
      <c r="O848" s="117"/>
    </row>
    <row r="849" spans="1:15" ht="27" customHeight="1">
      <c r="B849" s="19" t="s">
        <v>320</v>
      </c>
      <c r="C849" s="47"/>
      <c r="D849" s="162"/>
      <c r="E849" s="159"/>
      <c r="F849" s="120"/>
      <c r="G849" s="290"/>
      <c r="H849" s="290"/>
      <c r="I849" s="297"/>
      <c r="J849" s="275"/>
      <c r="K849" s="117"/>
      <c r="L849" s="117"/>
      <c r="M849" s="117"/>
      <c r="N849" s="117"/>
      <c r="O849" s="117"/>
    </row>
    <row r="850" spans="1:15" ht="76.5">
      <c r="A850" s="47" t="s">
        <v>4</v>
      </c>
      <c r="B850" s="129" t="s">
        <v>244</v>
      </c>
      <c r="C850" s="125"/>
      <c r="D850" s="127"/>
      <c r="E850" s="130"/>
      <c r="F850" s="130"/>
      <c r="G850" s="290"/>
      <c r="H850" s="290"/>
      <c r="I850" s="297"/>
      <c r="J850" s="275"/>
      <c r="K850" s="117"/>
      <c r="L850" s="117"/>
      <c r="M850" s="117"/>
      <c r="N850" s="117"/>
      <c r="O850" s="117"/>
    </row>
    <row r="851" spans="1:15" ht="14.25" customHeight="1">
      <c r="B851" s="125"/>
      <c r="C851" s="126" t="s">
        <v>436</v>
      </c>
      <c r="D851" s="127">
        <f>2*23*(1.76+2.06)*2</f>
        <v>351.44000000000005</v>
      </c>
      <c r="E851" s="122"/>
      <c r="F851" s="123">
        <f>SUM(D851*E851)</f>
        <v>0</v>
      </c>
      <c r="G851" s="291">
        <f>2*0.2*23*(1.76+2.06)</f>
        <v>35.144000000000005</v>
      </c>
      <c r="H851" s="290"/>
      <c r="I851" s="297"/>
      <c r="J851" s="275"/>
      <c r="K851" s="117"/>
      <c r="L851" s="117"/>
      <c r="M851" s="117"/>
      <c r="N851" s="117"/>
      <c r="O851" s="117"/>
    </row>
    <row r="852" spans="1:15" ht="76.5">
      <c r="A852" s="47" t="s">
        <v>5</v>
      </c>
      <c r="B852" s="129" t="s">
        <v>245</v>
      </c>
      <c r="C852" s="125"/>
      <c r="D852" s="127"/>
      <c r="E852" s="130"/>
      <c r="F852" s="130"/>
      <c r="G852" s="290"/>
      <c r="H852" s="290"/>
      <c r="I852" s="297"/>
      <c r="J852" s="275"/>
      <c r="K852" s="117"/>
      <c r="L852" s="117"/>
      <c r="M852" s="117"/>
      <c r="N852" s="117"/>
      <c r="O852" s="117"/>
    </row>
    <row r="853" spans="1:15" ht="14.25" customHeight="1">
      <c r="B853" s="129"/>
      <c r="C853" s="126" t="s">
        <v>436</v>
      </c>
      <c r="D853" s="127">
        <f>2*1*(1.76+2.06)*2</f>
        <v>15.280000000000001</v>
      </c>
      <c r="E853" s="122"/>
      <c r="F853" s="123">
        <f>SUM(D853*E853)</f>
        <v>0</v>
      </c>
      <c r="H853" s="290"/>
      <c r="I853" s="297"/>
      <c r="J853" s="275"/>
      <c r="K853" s="117"/>
      <c r="L853" s="117"/>
      <c r="M853" s="117"/>
      <c r="N853" s="117"/>
      <c r="O853" s="117"/>
    </row>
    <row r="854" spans="1:15" ht="76.5">
      <c r="A854" s="47" t="s">
        <v>8</v>
      </c>
      <c r="B854" s="17" t="s">
        <v>437</v>
      </c>
      <c r="C854" s="126"/>
      <c r="D854" s="121"/>
      <c r="E854" s="127"/>
      <c r="F854" s="128"/>
    </row>
    <row r="855" spans="1:15" ht="14.25">
      <c r="C855" s="104" t="s">
        <v>64</v>
      </c>
      <c r="D855" s="121">
        <v>28</v>
      </c>
      <c r="E855" s="122"/>
      <c r="F855" s="123">
        <f>SUM(D855*E855)</f>
        <v>0</v>
      </c>
    </row>
    <row r="856" spans="1:15" ht="63.75">
      <c r="A856" s="47" t="s">
        <v>9</v>
      </c>
      <c r="B856" s="17" t="s">
        <v>438</v>
      </c>
      <c r="C856" s="126"/>
      <c r="D856" s="121"/>
      <c r="E856" s="127"/>
      <c r="F856" s="128"/>
    </row>
    <row r="857" spans="1:15" ht="14.25">
      <c r="C857" s="104" t="s">
        <v>64</v>
      </c>
      <c r="D857" s="121">
        <f>(5.34+5.87+2*2.26*1.3)*5</f>
        <v>85.429999999999993</v>
      </c>
      <c r="E857" s="122"/>
      <c r="F857" s="123">
        <f>SUM(D857*E857)</f>
        <v>0</v>
      </c>
    </row>
    <row r="858" spans="1:15" ht="29.25" customHeight="1">
      <c r="B858" s="19" t="s">
        <v>320</v>
      </c>
      <c r="C858" s="126"/>
      <c r="D858" s="121"/>
      <c r="E858" s="127"/>
      <c r="F858" s="123"/>
    </row>
    <row r="859" spans="1:15" ht="79.5" customHeight="1">
      <c r="A859" s="47" t="s">
        <v>51</v>
      </c>
      <c r="B859" s="17" t="s">
        <v>101</v>
      </c>
      <c r="C859" s="126"/>
      <c r="D859" s="121"/>
      <c r="E859" s="127"/>
      <c r="F859" s="128"/>
    </row>
    <row r="860" spans="1:15" ht="14.25">
      <c r="A860" s="47" t="s">
        <v>208</v>
      </c>
      <c r="B860" s="50" t="s">
        <v>378</v>
      </c>
      <c r="C860" s="104" t="s">
        <v>64</v>
      </c>
      <c r="D860" s="179">
        <f>D684</f>
        <v>40</v>
      </c>
      <c r="E860" s="122"/>
      <c r="F860" s="123">
        <f t="shared" ref="F860:F864" si="95">SUM(D860*E860)</f>
        <v>0</v>
      </c>
    </row>
    <row r="861" spans="1:15" ht="14.25">
      <c r="A861" s="47" t="s">
        <v>209</v>
      </c>
      <c r="B861" s="50" t="s">
        <v>379</v>
      </c>
      <c r="C861" s="104" t="s">
        <v>64</v>
      </c>
      <c r="D861" s="179">
        <f>D706</f>
        <v>15</v>
      </c>
      <c r="E861" s="122"/>
      <c r="F861" s="123">
        <f t="shared" si="95"/>
        <v>0</v>
      </c>
    </row>
    <row r="862" spans="1:15" ht="14.25">
      <c r="A862" s="47" t="s">
        <v>345</v>
      </c>
      <c r="B862" s="50" t="s">
        <v>380</v>
      </c>
      <c r="C862" s="104" t="s">
        <v>64</v>
      </c>
      <c r="D862" s="179">
        <f>D707</f>
        <v>15</v>
      </c>
      <c r="E862" s="122"/>
      <c r="F862" s="123">
        <f t="shared" si="95"/>
        <v>0</v>
      </c>
    </row>
    <row r="863" spans="1:15" ht="14.25">
      <c r="A863" s="47" t="s">
        <v>235</v>
      </c>
      <c r="B863" s="50" t="s">
        <v>381</v>
      </c>
      <c r="C863" s="104" t="s">
        <v>64</v>
      </c>
      <c r="D863" s="179">
        <f>D708</f>
        <v>15</v>
      </c>
      <c r="E863" s="122"/>
      <c r="F863" s="123">
        <f t="shared" si="95"/>
        <v>0</v>
      </c>
    </row>
    <row r="864" spans="1:15" ht="14.25">
      <c r="A864" s="47" t="s">
        <v>236</v>
      </c>
      <c r="B864" s="50" t="s">
        <v>382</v>
      </c>
      <c r="C864" s="104" t="s">
        <v>64</v>
      </c>
      <c r="D864" s="179">
        <f>D709</f>
        <v>15</v>
      </c>
      <c r="E864" s="122"/>
      <c r="F864" s="123">
        <f t="shared" si="95"/>
        <v>0</v>
      </c>
    </row>
    <row r="866" spans="1:6" ht="114.75">
      <c r="A866" s="47" t="s">
        <v>52</v>
      </c>
      <c r="B866" s="17" t="s">
        <v>439</v>
      </c>
      <c r="C866" s="126"/>
      <c r="D866" s="195"/>
      <c r="E866" s="196"/>
      <c r="F866" s="128"/>
    </row>
    <row r="867" spans="1:6" ht="25.5">
      <c r="A867" s="47" t="s">
        <v>232</v>
      </c>
      <c r="B867" s="31" t="s">
        <v>370</v>
      </c>
      <c r="C867" s="104" t="s">
        <v>64</v>
      </c>
      <c r="D867" s="195">
        <f>0.5*6*2+0.75*6</f>
        <v>10.5</v>
      </c>
      <c r="E867" s="196"/>
      <c r="F867" s="123">
        <f t="shared" ref="F867:F868" si="96">SUM(D867*E867)</f>
        <v>0</v>
      </c>
    </row>
    <row r="868" spans="1:6" ht="25.5">
      <c r="A868" s="47" t="s">
        <v>233</v>
      </c>
      <c r="B868" s="31" t="s">
        <v>371</v>
      </c>
      <c r="C868" s="104" t="s">
        <v>64</v>
      </c>
      <c r="D868" s="195">
        <f>0.5*6*2+0.75*6</f>
        <v>10.5</v>
      </c>
      <c r="E868" s="196"/>
      <c r="F868" s="123">
        <f t="shared" si="96"/>
        <v>0</v>
      </c>
    </row>
    <row r="869" spans="1:6">
      <c r="B869" s="31"/>
      <c r="C869" s="104"/>
      <c r="D869" s="195"/>
      <c r="E869" s="196"/>
      <c r="F869" s="123"/>
    </row>
    <row r="870" spans="1:6" ht="114.75">
      <c r="A870" s="47" t="s">
        <v>53</v>
      </c>
      <c r="B870" s="17" t="s">
        <v>440</v>
      </c>
      <c r="C870" s="104"/>
      <c r="D870" s="195"/>
      <c r="E870" s="196"/>
      <c r="F870" s="123"/>
    </row>
    <row r="871" spans="1:6" ht="25.5">
      <c r="A871" s="47" t="s">
        <v>165</v>
      </c>
      <c r="B871" s="31" t="s">
        <v>442</v>
      </c>
      <c r="C871" s="104" t="s">
        <v>64</v>
      </c>
      <c r="D871" s="195">
        <f>2*21</f>
        <v>42</v>
      </c>
      <c r="E871" s="196"/>
      <c r="F871" s="123">
        <f t="shared" ref="F871:F872" si="97">SUM(D871*E871)</f>
        <v>0</v>
      </c>
    </row>
    <row r="872" spans="1:6" ht="25.5">
      <c r="A872" s="47" t="s">
        <v>166</v>
      </c>
      <c r="B872" s="31" t="s">
        <v>441</v>
      </c>
      <c r="C872" s="104" t="s">
        <v>64</v>
      </c>
      <c r="D872" s="195">
        <f>2*12.5</f>
        <v>25</v>
      </c>
      <c r="E872" s="196"/>
      <c r="F872" s="123">
        <f t="shared" si="97"/>
        <v>0</v>
      </c>
    </row>
    <row r="873" spans="1:6">
      <c r="B873" s="193"/>
      <c r="C873" s="47"/>
      <c r="D873" s="119"/>
      <c r="E873" s="159"/>
      <c r="F873" s="120"/>
    </row>
    <row r="874" spans="1:6" ht="70.5" customHeight="1">
      <c r="A874" s="110" t="s">
        <v>54</v>
      </c>
      <c r="B874" s="129" t="s">
        <v>443</v>
      </c>
      <c r="C874" s="1"/>
      <c r="D874" s="179"/>
      <c r="E874" s="183"/>
      <c r="F874" s="184"/>
    </row>
    <row r="875" spans="1:6" ht="14.25">
      <c r="B875" s="33"/>
      <c r="C875" s="104" t="s">
        <v>64</v>
      </c>
      <c r="D875" s="195">
        <f>2*23</f>
        <v>46</v>
      </c>
      <c r="E875" s="196"/>
      <c r="F875" s="123">
        <f>SUM(D875*E875)</f>
        <v>0</v>
      </c>
    </row>
    <row r="876" spans="1:6">
      <c r="B876" s="18" t="s">
        <v>324</v>
      </c>
      <c r="C876" s="126"/>
      <c r="D876" s="121"/>
      <c r="E876" s="127"/>
      <c r="F876" s="123"/>
    </row>
    <row r="877" spans="1:6" ht="114.75">
      <c r="A877" s="47" t="s">
        <v>55</v>
      </c>
      <c r="B877" s="17" t="s">
        <v>384</v>
      </c>
      <c r="C877" s="126"/>
      <c r="D877" s="195"/>
      <c r="E877" s="196"/>
      <c r="F877" s="128"/>
    </row>
    <row r="878" spans="1:6" ht="14.25">
      <c r="A878" s="47" t="s">
        <v>167</v>
      </c>
      <c r="B878" s="50" t="s">
        <v>365</v>
      </c>
      <c r="C878" s="104" t="s">
        <v>64</v>
      </c>
      <c r="D878" s="195">
        <f>11.5*0.75*1+2*11.5*0.65</f>
        <v>23.575000000000003</v>
      </c>
      <c r="E878" s="196"/>
      <c r="F878" s="123">
        <f t="shared" ref="F878:F882" si="98">SUM(D878*E878)</f>
        <v>0</v>
      </c>
    </row>
    <row r="879" spans="1:6" ht="14.25">
      <c r="A879" s="47" t="s">
        <v>168</v>
      </c>
      <c r="B879" s="50" t="s">
        <v>366</v>
      </c>
      <c r="C879" s="104" t="s">
        <v>64</v>
      </c>
      <c r="D879" s="195">
        <f>11.5*0.75*1+2*11.5*0.65</f>
        <v>23.575000000000003</v>
      </c>
      <c r="E879" s="196"/>
      <c r="F879" s="123">
        <f t="shared" si="98"/>
        <v>0</v>
      </c>
    </row>
    <row r="880" spans="1:6" ht="14.25">
      <c r="A880" s="47" t="s">
        <v>220</v>
      </c>
      <c r="B880" s="50" t="s">
        <v>367</v>
      </c>
      <c r="C880" s="104" t="s">
        <v>64</v>
      </c>
      <c r="D880" s="195">
        <f>11.5*0.75*1+2*11.5*0.65</f>
        <v>23.575000000000003</v>
      </c>
      <c r="E880" s="196"/>
      <c r="F880" s="123">
        <f t="shared" si="98"/>
        <v>0</v>
      </c>
    </row>
    <row r="881" spans="1:6" ht="14.25">
      <c r="A881" s="47" t="s">
        <v>221</v>
      </c>
      <c r="B881" s="50" t="s">
        <v>368</v>
      </c>
      <c r="C881" s="104" t="s">
        <v>64</v>
      </c>
      <c r="D881" s="195">
        <f>11.5*0.75*1+2*11.5*0.65</f>
        <v>23.575000000000003</v>
      </c>
      <c r="E881" s="196"/>
      <c r="F881" s="123">
        <f t="shared" si="98"/>
        <v>0</v>
      </c>
    </row>
    <row r="882" spans="1:6" ht="14.25">
      <c r="A882" s="47" t="s">
        <v>222</v>
      </c>
      <c r="B882" s="50" t="s">
        <v>369</v>
      </c>
      <c r="C882" s="104" t="s">
        <v>64</v>
      </c>
      <c r="D882" s="195">
        <f>11.5*0.75*1+2*11.5*0.65</f>
        <v>23.575000000000003</v>
      </c>
      <c r="E882" s="196"/>
      <c r="F882" s="123">
        <f t="shared" si="98"/>
        <v>0</v>
      </c>
    </row>
    <row r="883" spans="1:6">
      <c r="B883" s="157"/>
      <c r="C883" s="126"/>
      <c r="D883" s="121"/>
      <c r="E883" s="127"/>
      <c r="F883" s="123"/>
    </row>
    <row r="884" spans="1:6" ht="105.75" customHeight="1">
      <c r="A884" s="47" t="s">
        <v>56</v>
      </c>
      <c r="B884" s="17" t="s">
        <v>385</v>
      </c>
      <c r="C884" s="126"/>
      <c r="D884" s="195"/>
      <c r="E884" s="196"/>
      <c r="F884" s="128"/>
    </row>
    <row r="885" spans="1:6" ht="25.5">
      <c r="A885" s="47" t="s">
        <v>169</v>
      </c>
      <c r="B885" s="31" t="s">
        <v>459</v>
      </c>
      <c r="C885" s="104" t="s">
        <v>64</v>
      </c>
      <c r="D885" s="195">
        <f>0.7*19+0.7*19</f>
        <v>26.599999999999998</v>
      </c>
      <c r="E885" s="196"/>
      <c r="F885" s="123">
        <f t="shared" ref="F885:F889" si="99">SUM(D885*E885)</f>
        <v>0</v>
      </c>
    </row>
    <row r="886" spans="1:6" ht="24.75" customHeight="1">
      <c r="A886" s="47" t="s">
        <v>170</v>
      </c>
      <c r="B886" s="31" t="s">
        <v>428</v>
      </c>
      <c r="C886" s="104" t="s">
        <v>64</v>
      </c>
      <c r="D886" s="195">
        <f>2*0.75*19+0.75*19*2</f>
        <v>57</v>
      </c>
      <c r="E886" s="196"/>
      <c r="F886" s="123">
        <f t="shared" si="99"/>
        <v>0</v>
      </c>
    </row>
    <row r="887" spans="1:6" ht="17.25" customHeight="1">
      <c r="A887" s="47" t="s">
        <v>225</v>
      </c>
      <c r="B887" s="31" t="s">
        <v>429</v>
      </c>
      <c r="C887" s="104" t="s">
        <v>64</v>
      </c>
      <c r="D887" s="195">
        <f>2*0.75*19+0.75*19*2</f>
        <v>57</v>
      </c>
      <c r="E887" s="196"/>
      <c r="F887" s="123">
        <f t="shared" si="99"/>
        <v>0</v>
      </c>
    </row>
    <row r="888" spans="1:6" ht="15.75" customHeight="1">
      <c r="A888" s="47" t="s">
        <v>226</v>
      </c>
      <c r="B888" s="31" t="s">
        <v>430</v>
      </c>
      <c r="C888" s="104" t="s">
        <v>64</v>
      </c>
      <c r="D888" s="195">
        <f>2*0.75*19+0.75*19*2</f>
        <v>57</v>
      </c>
      <c r="E888" s="196"/>
      <c r="F888" s="123">
        <f t="shared" si="99"/>
        <v>0</v>
      </c>
    </row>
    <row r="889" spans="1:6" ht="15.75" customHeight="1">
      <c r="A889" s="47" t="s">
        <v>227</v>
      </c>
      <c r="B889" s="31" t="s">
        <v>431</v>
      </c>
      <c r="C889" s="104" t="s">
        <v>64</v>
      </c>
      <c r="D889" s="195">
        <f>2*0.75*19+0.75*19*2</f>
        <v>57</v>
      </c>
      <c r="E889" s="196"/>
      <c r="F889" s="123">
        <f t="shared" si="99"/>
        <v>0</v>
      </c>
    </row>
    <row r="890" spans="1:6">
      <c r="B890" s="31"/>
      <c r="C890" s="104"/>
      <c r="D890" s="138"/>
      <c r="E890" s="196"/>
      <c r="F890" s="123"/>
    </row>
    <row r="891" spans="1:6" ht="63.75">
      <c r="A891" s="110" t="s">
        <v>57</v>
      </c>
      <c r="B891" s="129" t="s">
        <v>444</v>
      </c>
      <c r="C891" s="1"/>
      <c r="D891" s="179"/>
      <c r="E891" s="183"/>
      <c r="F891" s="184"/>
    </row>
    <row r="892" spans="1:6">
      <c r="B892" s="13" t="s">
        <v>564</v>
      </c>
    </row>
    <row r="893" spans="1:6" ht="14.25">
      <c r="B893" s="33" t="s">
        <v>231</v>
      </c>
      <c r="C893" s="104" t="s">
        <v>64</v>
      </c>
      <c r="D893" s="195">
        <v>12</v>
      </c>
      <c r="E893" s="196"/>
      <c r="F893" s="123">
        <f>SUM(D893*E893)</f>
        <v>0</v>
      </c>
    </row>
    <row r="895" spans="1:6">
      <c r="A895" s="55"/>
      <c r="B895" s="197" t="s">
        <v>47</v>
      </c>
      <c r="C895" s="198"/>
      <c r="D895" s="199"/>
      <c r="E895" s="147"/>
      <c r="F895" s="148">
        <f>SUM(F841:F893)</f>
        <v>0</v>
      </c>
    </row>
    <row r="896" spans="1:6">
      <c r="B896" s="156"/>
      <c r="C896" s="126"/>
      <c r="D896" s="121"/>
      <c r="F896" s="123"/>
    </row>
    <row r="897" spans="1:6">
      <c r="B897" s="156"/>
      <c r="C897" s="126"/>
      <c r="D897" s="121"/>
      <c r="F897" s="123"/>
    </row>
    <row r="898" spans="1:6">
      <c r="A898" s="106" t="s">
        <v>76</v>
      </c>
      <c r="B898" s="15" t="s">
        <v>48</v>
      </c>
      <c r="C898" s="102" t="s">
        <v>32</v>
      </c>
      <c r="D898" s="135" t="s">
        <v>0</v>
      </c>
      <c r="E898" s="136" t="s">
        <v>31</v>
      </c>
      <c r="F898" s="137" t="s">
        <v>1</v>
      </c>
    </row>
    <row r="899" spans="1:6">
      <c r="F899" s="123"/>
    </row>
    <row r="900" spans="1:6">
      <c r="B900" s="14" t="s">
        <v>386</v>
      </c>
      <c r="F900" s="123"/>
    </row>
    <row r="901" spans="1:6" ht="204">
      <c r="A901" s="47" t="s">
        <v>2</v>
      </c>
      <c r="B901" s="99" t="s">
        <v>387</v>
      </c>
      <c r="C901" s="126"/>
      <c r="D901" s="195"/>
      <c r="E901" s="196"/>
      <c r="F901" s="128"/>
    </row>
    <row r="902" spans="1:6">
      <c r="A902" s="47" t="s">
        <v>114</v>
      </c>
      <c r="B902" s="13" t="s">
        <v>388</v>
      </c>
    </row>
    <row r="903" spans="1:6">
      <c r="B903" s="31" t="s">
        <v>392</v>
      </c>
      <c r="C903" s="2" t="s">
        <v>24</v>
      </c>
      <c r="D903" s="195">
        <v>7</v>
      </c>
      <c r="E903" s="196"/>
      <c r="F903" s="123">
        <f t="shared" ref="F903:F905" si="100">SUM(D903*E903)</f>
        <v>0</v>
      </c>
    </row>
    <row r="904" spans="1:6">
      <c r="B904" s="31" t="s">
        <v>393</v>
      </c>
      <c r="C904" s="2" t="s">
        <v>24</v>
      </c>
      <c r="D904" s="195">
        <v>0.5</v>
      </c>
      <c r="E904" s="196"/>
      <c r="F904" s="123">
        <f t="shared" si="100"/>
        <v>0</v>
      </c>
    </row>
    <row r="905" spans="1:6">
      <c r="B905" s="200" t="s">
        <v>394</v>
      </c>
      <c r="C905" s="2" t="s">
        <v>14</v>
      </c>
      <c r="D905" s="195">
        <v>8</v>
      </c>
      <c r="E905" s="196"/>
      <c r="F905" s="123">
        <f t="shared" si="100"/>
        <v>0</v>
      </c>
    </row>
    <row r="906" spans="1:6">
      <c r="F906" s="123"/>
    </row>
    <row r="907" spans="1:6">
      <c r="A907" s="47" t="s">
        <v>115</v>
      </c>
      <c r="B907" s="13" t="s">
        <v>389</v>
      </c>
      <c r="F907" s="123"/>
    </row>
    <row r="908" spans="1:6">
      <c r="B908" s="31" t="s">
        <v>392</v>
      </c>
      <c r="C908" s="2" t="s">
        <v>24</v>
      </c>
      <c r="D908" s="195">
        <v>7</v>
      </c>
      <c r="E908" s="196"/>
      <c r="F908" s="123">
        <f t="shared" ref="F908:F910" si="101">SUM(D908*E908)</f>
        <v>0</v>
      </c>
    </row>
    <row r="909" spans="1:6">
      <c r="B909" s="31" t="s">
        <v>393</v>
      </c>
      <c r="C909" s="2" t="s">
        <v>24</v>
      </c>
      <c r="D909" s="195">
        <v>0.5</v>
      </c>
      <c r="E909" s="196"/>
      <c r="F909" s="123">
        <f t="shared" si="101"/>
        <v>0</v>
      </c>
    </row>
    <row r="910" spans="1:6">
      <c r="B910" s="200" t="s">
        <v>394</v>
      </c>
      <c r="C910" s="2" t="s">
        <v>14</v>
      </c>
      <c r="D910" s="195">
        <v>8</v>
      </c>
      <c r="E910" s="196"/>
      <c r="F910" s="123">
        <f t="shared" si="101"/>
        <v>0</v>
      </c>
    </row>
    <row r="911" spans="1:6">
      <c r="F911" s="123"/>
    </row>
    <row r="912" spans="1:6">
      <c r="A912" s="47" t="s">
        <v>116</v>
      </c>
      <c r="B912" s="13" t="s">
        <v>390</v>
      </c>
      <c r="F912" s="123"/>
    </row>
    <row r="913" spans="1:6">
      <c r="B913" s="31" t="s">
        <v>392</v>
      </c>
      <c r="C913" s="2" t="s">
        <v>24</v>
      </c>
      <c r="D913" s="195">
        <v>7</v>
      </c>
      <c r="E913" s="196"/>
      <c r="F913" s="123">
        <f t="shared" ref="F913:F915" si="102">SUM(D913*E913)</f>
        <v>0</v>
      </c>
    </row>
    <row r="914" spans="1:6">
      <c r="B914" s="31" t="s">
        <v>393</v>
      </c>
      <c r="C914" s="2" t="s">
        <v>24</v>
      </c>
      <c r="D914" s="195">
        <v>0.5</v>
      </c>
      <c r="E914" s="196"/>
      <c r="F914" s="123">
        <f t="shared" si="102"/>
        <v>0</v>
      </c>
    </row>
    <row r="915" spans="1:6">
      <c r="B915" s="200" t="s">
        <v>394</v>
      </c>
      <c r="C915" s="2" t="s">
        <v>14</v>
      </c>
      <c r="D915" s="195">
        <v>8</v>
      </c>
      <c r="E915" s="196"/>
      <c r="F915" s="123">
        <f t="shared" si="102"/>
        <v>0</v>
      </c>
    </row>
    <row r="916" spans="1:6">
      <c r="F916" s="123"/>
    </row>
    <row r="917" spans="1:6">
      <c r="A917" s="47" t="s">
        <v>117</v>
      </c>
      <c r="B917" s="13" t="s">
        <v>391</v>
      </c>
      <c r="C917" s="126"/>
      <c r="D917" s="121"/>
      <c r="E917" s="127"/>
      <c r="F917" s="123"/>
    </row>
    <row r="918" spans="1:6">
      <c r="B918" s="31" t="s">
        <v>392</v>
      </c>
      <c r="C918" s="2" t="s">
        <v>24</v>
      </c>
      <c r="D918" s="195">
        <v>7</v>
      </c>
      <c r="E918" s="196"/>
      <c r="F918" s="123">
        <f t="shared" ref="F918:F920" si="103">SUM(D918*E918)</f>
        <v>0</v>
      </c>
    </row>
    <row r="919" spans="1:6">
      <c r="B919" s="31" t="s">
        <v>393</v>
      </c>
      <c r="C919" s="2" t="s">
        <v>24</v>
      </c>
      <c r="D919" s="195">
        <v>0.5</v>
      </c>
      <c r="E919" s="196"/>
      <c r="F919" s="123">
        <f t="shared" si="103"/>
        <v>0</v>
      </c>
    </row>
    <row r="920" spans="1:6">
      <c r="B920" s="200" t="s">
        <v>394</v>
      </c>
      <c r="C920" s="2" t="s">
        <v>14</v>
      </c>
      <c r="D920" s="195">
        <v>8</v>
      </c>
      <c r="E920" s="196"/>
      <c r="F920" s="123">
        <f t="shared" si="103"/>
        <v>0</v>
      </c>
    </row>
    <row r="921" spans="1:6">
      <c r="C921" s="126"/>
      <c r="D921" s="121"/>
      <c r="E921" s="127"/>
      <c r="F921" s="123"/>
    </row>
    <row r="922" spans="1:6">
      <c r="C922" s="126"/>
      <c r="D922" s="121"/>
      <c r="E922" s="127"/>
      <c r="F922" s="123"/>
    </row>
    <row r="923" spans="1:6">
      <c r="B923" s="157"/>
      <c r="C923" s="126"/>
      <c r="D923" s="121"/>
      <c r="E923" s="127"/>
      <c r="F923" s="128"/>
    </row>
    <row r="924" spans="1:6">
      <c r="A924" s="55"/>
      <c r="B924" s="197" t="s">
        <v>49</v>
      </c>
      <c r="C924" s="198"/>
      <c r="D924" s="199"/>
      <c r="E924" s="147"/>
      <c r="F924" s="148">
        <f>SUM(F901:F921)</f>
        <v>0</v>
      </c>
    </row>
    <row r="925" spans="1:6">
      <c r="F925" s="123"/>
    </row>
    <row r="926" spans="1:6">
      <c r="F926" s="123"/>
    </row>
    <row r="927" spans="1:6">
      <c r="F927" s="123"/>
    </row>
    <row r="928" spans="1:6">
      <c r="F928" s="123"/>
    </row>
    <row r="929" spans="1:9">
      <c r="F929" s="123"/>
    </row>
    <row r="930" spans="1:9">
      <c r="F930" s="123"/>
    </row>
    <row r="931" spans="1:9">
      <c r="F931" s="123"/>
    </row>
    <row r="932" spans="1:9">
      <c r="F932" s="123"/>
    </row>
    <row r="933" spans="1:9">
      <c r="A933" s="106" t="s">
        <v>246</v>
      </c>
      <c r="B933" s="15" t="s">
        <v>77</v>
      </c>
      <c r="C933" s="102" t="s">
        <v>32</v>
      </c>
      <c r="D933" s="135" t="s">
        <v>0</v>
      </c>
      <c r="E933" s="136" t="s">
        <v>31</v>
      </c>
      <c r="F933" s="137" t="s">
        <v>1</v>
      </c>
      <c r="I933" s="298"/>
    </row>
    <row r="934" spans="1:9">
      <c r="B934" s="19"/>
      <c r="F934" s="123"/>
      <c r="I934" s="298"/>
    </row>
    <row r="935" spans="1:9" ht="25.5">
      <c r="B935" s="18" t="s">
        <v>111</v>
      </c>
      <c r="F935" s="123"/>
      <c r="I935" s="298"/>
    </row>
    <row r="936" spans="1:9" ht="114.75">
      <c r="A936" s="47" t="s">
        <v>2</v>
      </c>
      <c r="B936" s="17" t="s">
        <v>102</v>
      </c>
      <c r="F936" s="123"/>
      <c r="I936" s="298"/>
    </row>
    <row r="937" spans="1:9" ht="14.25">
      <c r="A937" s="47" t="s">
        <v>114</v>
      </c>
      <c r="B937" s="24" t="s">
        <v>317</v>
      </c>
      <c r="C937" s="104" t="s">
        <v>64</v>
      </c>
      <c r="D937" s="121">
        <f>D223</f>
        <v>260</v>
      </c>
      <c r="F937" s="123">
        <f t="shared" ref="F937:F938" si="104">SUM(D937*E937)</f>
        <v>0</v>
      </c>
      <c r="I937" s="298"/>
    </row>
    <row r="938" spans="1:9" ht="14.25">
      <c r="A938" s="47" t="s">
        <v>115</v>
      </c>
      <c r="B938" s="24" t="s">
        <v>113</v>
      </c>
      <c r="C938" s="104" t="s">
        <v>64</v>
      </c>
      <c r="D938" s="121">
        <f>D228</f>
        <v>260</v>
      </c>
      <c r="F938" s="123">
        <f t="shared" si="104"/>
        <v>0</v>
      </c>
      <c r="I938" s="298"/>
    </row>
    <row r="939" spans="1:9">
      <c r="B939" s="24"/>
      <c r="C939" s="104"/>
      <c r="D939" s="121"/>
      <c r="F939" s="123"/>
      <c r="I939" s="298"/>
    </row>
    <row r="940" spans="1:9">
      <c r="B940" s="14" t="s">
        <v>386</v>
      </c>
      <c r="C940" s="104"/>
      <c r="D940" s="121"/>
      <c r="F940" s="123"/>
      <c r="I940" s="298"/>
    </row>
    <row r="941" spans="1:9" ht="140.25">
      <c r="A941" s="47" t="s">
        <v>3</v>
      </c>
      <c r="B941" s="17" t="s">
        <v>395</v>
      </c>
      <c r="F941" s="123"/>
      <c r="I941" s="298"/>
    </row>
    <row r="942" spans="1:9">
      <c r="A942" s="47" t="s">
        <v>126</v>
      </c>
      <c r="B942" s="13" t="s">
        <v>388</v>
      </c>
      <c r="C942" s="104" t="s">
        <v>14</v>
      </c>
      <c r="D942" s="121">
        <v>4</v>
      </c>
      <c r="F942" s="123">
        <f t="shared" ref="F942:F945" si="105">SUM(D942*E942)</f>
        <v>0</v>
      </c>
      <c r="I942" s="298"/>
    </row>
    <row r="943" spans="1:9">
      <c r="A943" s="47" t="s">
        <v>127</v>
      </c>
      <c r="B943" s="13" t="s">
        <v>389</v>
      </c>
      <c r="C943" s="104" t="s">
        <v>14</v>
      </c>
      <c r="D943" s="121">
        <v>4</v>
      </c>
      <c r="F943" s="123">
        <f t="shared" si="105"/>
        <v>0</v>
      </c>
      <c r="I943" s="298"/>
    </row>
    <row r="944" spans="1:9">
      <c r="A944" s="47" t="s">
        <v>128</v>
      </c>
      <c r="B944" s="13" t="s">
        <v>390</v>
      </c>
      <c r="C944" s="104" t="s">
        <v>14</v>
      </c>
      <c r="D944" s="121">
        <v>3</v>
      </c>
      <c r="F944" s="123">
        <f t="shared" si="105"/>
        <v>0</v>
      </c>
      <c r="I944" s="298"/>
    </row>
    <row r="945" spans="1:9">
      <c r="A945" s="47" t="s">
        <v>129</v>
      </c>
      <c r="B945" s="13" t="s">
        <v>391</v>
      </c>
      <c r="C945" s="104" t="s">
        <v>14</v>
      </c>
      <c r="D945" s="121">
        <v>3</v>
      </c>
      <c r="F945" s="123">
        <f t="shared" si="105"/>
        <v>0</v>
      </c>
      <c r="I945" s="298"/>
    </row>
    <row r="946" spans="1:9">
      <c r="B946" s="24"/>
      <c r="C946" s="104"/>
      <c r="D946" s="121"/>
      <c r="F946" s="123"/>
      <c r="I946" s="298"/>
    </row>
    <row r="947" spans="1:9" ht="102">
      <c r="A947" s="47" t="s">
        <v>4</v>
      </c>
      <c r="B947" s="17" t="s">
        <v>396</v>
      </c>
      <c r="F947" s="123"/>
      <c r="I947" s="298"/>
    </row>
    <row r="948" spans="1:9">
      <c r="A948" s="47" t="s">
        <v>139</v>
      </c>
      <c r="B948" s="13" t="s">
        <v>388</v>
      </c>
      <c r="C948" s="104" t="s">
        <v>190</v>
      </c>
      <c r="D948" s="195">
        <v>4.3</v>
      </c>
      <c r="F948" s="123">
        <f t="shared" ref="F948:F951" si="106">SUM(D948*E948)</f>
        <v>0</v>
      </c>
      <c r="I948" s="298"/>
    </row>
    <row r="949" spans="1:9">
      <c r="A949" s="47" t="s">
        <v>140</v>
      </c>
      <c r="B949" s="13" t="s">
        <v>389</v>
      </c>
      <c r="C949" s="104" t="s">
        <v>190</v>
      </c>
      <c r="D949" s="195">
        <v>5</v>
      </c>
      <c r="F949" s="123">
        <f t="shared" si="106"/>
        <v>0</v>
      </c>
      <c r="I949" s="298"/>
    </row>
    <row r="950" spans="1:9">
      <c r="A950" s="47" t="s">
        <v>141</v>
      </c>
      <c r="B950" s="13" t="s">
        <v>390</v>
      </c>
      <c r="C950" s="104" t="s">
        <v>190</v>
      </c>
      <c r="D950" s="195">
        <v>3.9</v>
      </c>
      <c r="F950" s="123">
        <f t="shared" si="106"/>
        <v>0</v>
      </c>
      <c r="I950" s="298"/>
    </row>
    <row r="951" spans="1:9">
      <c r="A951" s="47" t="s">
        <v>142</v>
      </c>
      <c r="B951" s="13" t="s">
        <v>391</v>
      </c>
      <c r="C951" s="104" t="s">
        <v>190</v>
      </c>
      <c r="D951" s="195">
        <v>3.9</v>
      </c>
      <c r="F951" s="123">
        <f t="shared" si="106"/>
        <v>0</v>
      </c>
      <c r="I951" s="298"/>
    </row>
    <row r="952" spans="1:9">
      <c r="B952" s="31"/>
      <c r="D952" s="170"/>
      <c r="E952" s="143"/>
      <c r="F952" s="201"/>
      <c r="I952" s="298"/>
    </row>
    <row r="953" spans="1:9">
      <c r="B953" s="16"/>
      <c r="F953" s="123"/>
      <c r="I953" s="298"/>
    </row>
    <row r="954" spans="1:9">
      <c r="A954" s="55"/>
      <c r="B954" s="202" t="s">
        <v>78</v>
      </c>
      <c r="C954" s="152"/>
      <c r="D954" s="146"/>
      <c r="E954" s="147"/>
      <c r="F954" s="148">
        <f>SUM(F936:F952)</f>
        <v>0</v>
      </c>
      <c r="I954" s="298"/>
    </row>
    <row r="955" spans="1:9">
      <c r="B955" s="14"/>
      <c r="F955" s="123"/>
      <c r="I955" s="298"/>
    </row>
    <row r="956" spans="1:9">
      <c r="B956" s="14"/>
      <c r="F956" s="123"/>
      <c r="I956" s="298"/>
    </row>
    <row r="957" spans="1:9">
      <c r="F957" s="123"/>
      <c r="I957" s="298"/>
    </row>
    <row r="958" spans="1:9">
      <c r="A958" s="106" t="s">
        <v>247</v>
      </c>
      <c r="B958" s="52" t="s">
        <v>249</v>
      </c>
      <c r="C958" s="102" t="s">
        <v>32</v>
      </c>
      <c r="D958" s="203" t="s">
        <v>0</v>
      </c>
      <c r="E958" s="204" t="s">
        <v>31</v>
      </c>
      <c r="F958" s="205" t="s">
        <v>1</v>
      </c>
      <c r="I958" s="298"/>
    </row>
    <row r="959" spans="1:9">
      <c r="B959" s="53"/>
      <c r="D959" s="143"/>
      <c r="E959" s="145"/>
      <c r="F959" s="144"/>
      <c r="I959" s="298"/>
    </row>
    <row r="960" spans="1:9">
      <c r="B960" s="14" t="s">
        <v>386</v>
      </c>
      <c r="D960" s="143"/>
      <c r="E960" s="145"/>
      <c r="F960" s="144"/>
      <c r="I960" s="298"/>
    </row>
    <row r="961" spans="1:9" ht="127.5">
      <c r="A961" s="47" t="s">
        <v>2</v>
      </c>
      <c r="B961" s="17" t="s">
        <v>397</v>
      </c>
      <c r="F961" s="123"/>
      <c r="I961" s="298"/>
    </row>
    <row r="962" spans="1:9" ht="14.25">
      <c r="A962" s="47" t="s">
        <v>114</v>
      </c>
      <c r="B962" s="13" t="s">
        <v>388</v>
      </c>
      <c r="C962" s="2" t="s">
        <v>64</v>
      </c>
      <c r="D962" s="127">
        <f>D948*0.5</f>
        <v>2.15</v>
      </c>
      <c r="F962" s="123">
        <f t="shared" ref="F962:F965" si="107">SUM(D962*E962)</f>
        <v>0</v>
      </c>
      <c r="I962" s="298"/>
    </row>
    <row r="963" spans="1:9" ht="14.25">
      <c r="A963" s="47" t="s">
        <v>115</v>
      </c>
      <c r="B963" s="13" t="s">
        <v>389</v>
      </c>
      <c r="C963" s="2" t="s">
        <v>64</v>
      </c>
      <c r="D963" s="127">
        <f>D949*0.5</f>
        <v>2.5</v>
      </c>
      <c r="F963" s="123">
        <f t="shared" si="107"/>
        <v>0</v>
      </c>
      <c r="I963" s="298"/>
    </row>
    <row r="964" spans="1:9" ht="14.25">
      <c r="A964" s="47" t="s">
        <v>116</v>
      </c>
      <c r="B964" s="13" t="s">
        <v>390</v>
      </c>
      <c r="C964" s="2" t="s">
        <v>64</v>
      </c>
      <c r="D964" s="127">
        <f>D950*0.5</f>
        <v>1.95</v>
      </c>
      <c r="F964" s="123">
        <f t="shared" si="107"/>
        <v>0</v>
      </c>
      <c r="I964" s="298"/>
    </row>
    <row r="965" spans="1:9" ht="14.25">
      <c r="A965" s="47" t="s">
        <v>117</v>
      </c>
      <c r="B965" s="13" t="s">
        <v>391</v>
      </c>
      <c r="C965" s="2" t="s">
        <v>64</v>
      </c>
      <c r="D965" s="127">
        <f>D951*0.5</f>
        <v>1.95</v>
      </c>
      <c r="F965" s="123">
        <f t="shared" si="107"/>
        <v>0</v>
      </c>
      <c r="I965" s="298"/>
    </row>
    <row r="966" spans="1:9">
      <c r="B966" s="32"/>
      <c r="C966" s="126"/>
      <c r="D966" s="206"/>
      <c r="E966" s="207"/>
      <c r="F966" s="208"/>
      <c r="I966" s="298"/>
    </row>
    <row r="967" spans="1:9" ht="140.25">
      <c r="A967" s="47" t="s">
        <v>3</v>
      </c>
      <c r="B967" s="17" t="s">
        <v>398</v>
      </c>
      <c r="F967" s="123"/>
      <c r="I967" s="298"/>
    </row>
    <row r="968" spans="1:9" ht="14.25">
      <c r="A968" s="47" t="s">
        <v>126</v>
      </c>
      <c r="B968" s="13" t="s">
        <v>388</v>
      </c>
      <c r="C968" s="2" t="s">
        <v>64</v>
      </c>
      <c r="D968" s="127">
        <v>0.9</v>
      </c>
      <c r="F968" s="123">
        <f t="shared" ref="F968:F971" si="108">SUM(D968*E968)</f>
        <v>0</v>
      </c>
      <c r="I968" s="298"/>
    </row>
    <row r="969" spans="1:9" ht="14.25">
      <c r="A969" s="47" t="s">
        <v>127</v>
      </c>
      <c r="B969" s="13" t="s">
        <v>389</v>
      </c>
      <c r="C969" s="2" t="s">
        <v>64</v>
      </c>
      <c r="D969" s="127">
        <v>1.1000000000000001</v>
      </c>
      <c r="F969" s="123">
        <f t="shared" si="108"/>
        <v>0</v>
      </c>
      <c r="I969" s="298"/>
    </row>
    <row r="970" spans="1:9" ht="14.25">
      <c r="A970" s="47" t="s">
        <v>128</v>
      </c>
      <c r="B970" s="13" t="s">
        <v>390</v>
      </c>
      <c r="C970" s="2" t="s">
        <v>64</v>
      </c>
      <c r="D970" s="127">
        <v>0.83</v>
      </c>
      <c r="F970" s="123">
        <f t="shared" si="108"/>
        <v>0</v>
      </c>
      <c r="I970" s="298"/>
    </row>
    <row r="971" spans="1:9" ht="14.25">
      <c r="A971" s="47" t="s">
        <v>129</v>
      </c>
      <c r="B971" s="13" t="s">
        <v>391</v>
      </c>
      <c r="C971" s="2" t="s">
        <v>64</v>
      </c>
      <c r="D971" s="127">
        <v>0.83</v>
      </c>
      <c r="F971" s="123">
        <f t="shared" si="108"/>
        <v>0</v>
      </c>
      <c r="I971" s="298"/>
    </row>
    <row r="972" spans="1:9">
      <c r="B972" s="19"/>
      <c r="D972" s="170"/>
      <c r="E972" s="145"/>
      <c r="F972" s="201"/>
      <c r="I972" s="298"/>
    </row>
    <row r="973" spans="1:9">
      <c r="B973" s="19"/>
      <c r="D973" s="170"/>
      <c r="E973" s="145"/>
      <c r="F973" s="201"/>
      <c r="I973" s="298"/>
    </row>
    <row r="974" spans="1:9">
      <c r="B974" s="100"/>
      <c r="D974" s="143"/>
      <c r="E974" s="145"/>
      <c r="F974" s="209"/>
      <c r="I974" s="298"/>
    </row>
    <row r="975" spans="1:9">
      <c r="B975" s="53"/>
      <c r="D975" s="143"/>
      <c r="E975" s="145"/>
      <c r="F975" s="144"/>
      <c r="I975" s="298"/>
    </row>
    <row r="976" spans="1:9">
      <c r="A976" s="55"/>
      <c r="B976" s="210" t="s">
        <v>250</v>
      </c>
      <c r="C976" s="198"/>
      <c r="D976" s="211"/>
      <c r="E976" s="212"/>
      <c r="F976" s="213">
        <f>SUM(F961:F972)</f>
        <v>0</v>
      </c>
      <c r="I976" s="298"/>
    </row>
    <row r="977" spans="1:9">
      <c r="B977" s="53"/>
      <c r="D977" s="143"/>
      <c r="E977" s="145"/>
      <c r="F977" s="144"/>
      <c r="I977" s="298"/>
    </row>
    <row r="978" spans="1:9">
      <c r="B978" s="26"/>
      <c r="C978" s="110"/>
      <c r="D978" s="214"/>
      <c r="E978" s="171"/>
      <c r="F978" s="215"/>
      <c r="I978" s="298"/>
    </row>
    <row r="979" spans="1:9">
      <c r="B979" s="26"/>
      <c r="C979" s="110"/>
      <c r="D979" s="214"/>
      <c r="E979" s="171"/>
      <c r="F979" s="215"/>
      <c r="I979" s="298"/>
    </row>
    <row r="980" spans="1:9">
      <c r="B980" s="26"/>
      <c r="C980" s="110"/>
      <c r="D980" s="214"/>
      <c r="E980" s="171"/>
      <c r="F980" s="215"/>
      <c r="I980" s="298"/>
    </row>
    <row r="981" spans="1:9">
      <c r="B981" s="26"/>
      <c r="C981" s="110"/>
      <c r="D981" s="214"/>
      <c r="E981" s="171"/>
      <c r="F981" s="215"/>
      <c r="I981" s="298"/>
    </row>
    <row r="982" spans="1:9">
      <c r="B982" s="26"/>
      <c r="C982" s="110"/>
      <c r="D982" s="214"/>
      <c r="E982" s="171"/>
      <c r="F982" s="215"/>
      <c r="I982" s="298"/>
    </row>
    <row r="983" spans="1:9">
      <c r="B983" s="26"/>
      <c r="C983" s="110"/>
      <c r="D983" s="214"/>
      <c r="E983" s="171"/>
      <c r="F983" s="215"/>
      <c r="I983" s="298"/>
    </row>
    <row r="984" spans="1:9">
      <c r="B984" s="26"/>
      <c r="C984" s="110"/>
      <c r="D984" s="214"/>
      <c r="E984" s="171"/>
      <c r="F984" s="215"/>
      <c r="I984" s="298"/>
    </row>
    <row r="985" spans="1:9">
      <c r="B985" s="26"/>
      <c r="C985" s="110"/>
      <c r="D985" s="214"/>
      <c r="E985" s="171"/>
      <c r="F985" s="215"/>
      <c r="I985" s="298"/>
    </row>
    <row r="986" spans="1:9">
      <c r="B986" s="26"/>
      <c r="C986" s="110"/>
      <c r="D986" s="214"/>
      <c r="E986" s="171"/>
      <c r="F986" s="215"/>
      <c r="I986" s="298"/>
    </row>
    <row r="987" spans="1:9">
      <c r="B987" s="26"/>
      <c r="C987" s="110"/>
      <c r="D987" s="214"/>
      <c r="E987" s="171"/>
      <c r="F987" s="215"/>
      <c r="I987" s="298"/>
    </row>
    <row r="988" spans="1:9">
      <c r="B988" s="26"/>
      <c r="C988" s="110"/>
      <c r="D988" s="214"/>
      <c r="E988" s="171"/>
      <c r="F988" s="215"/>
      <c r="I988" s="298"/>
    </row>
    <row r="989" spans="1:9">
      <c r="A989" s="106" t="s">
        <v>257</v>
      </c>
      <c r="B989" s="52" t="s">
        <v>251</v>
      </c>
      <c r="C989" s="102" t="s">
        <v>32</v>
      </c>
      <c r="D989" s="203" t="s">
        <v>0</v>
      </c>
      <c r="E989" s="204" t="s">
        <v>31</v>
      </c>
      <c r="F989" s="205" t="s">
        <v>1</v>
      </c>
      <c r="I989" s="298"/>
    </row>
    <row r="990" spans="1:9">
      <c r="B990" s="53"/>
      <c r="D990" s="143"/>
      <c r="E990" s="145"/>
      <c r="F990" s="144"/>
      <c r="I990" s="298"/>
    </row>
    <row r="991" spans="1:9">
      <c r="B991" s="49" t="s">
        <v>248</v>
      </c>
      <c r="D991" s="143"/>
      <c r="E991" s="145"/>
      <c r="F991" s="144"/>
      <c r="I991" s="298"/>
    </row>
    <row r="992" spans="1:9" ht="38.25">
      <c r="A992" s="47" t="s">
        <v>2</v>
      </c>
      <c r="B992" s="32" t="s">
        <v>403</v>
      </c>
      <c r="C992" s="126"/>
      <c r="D992" s="206"/>
      <c r="E992" s="207"/>
      <c r="F992" s="208"/>
      <c r="I992" s="298"/>
    </row>
    <row r="993" spans="1:9">
      <c r="B993" s="32" t="s">
        <v>317</v>
      </c>
      <c r="C993" s="126"/>
      <c r="D993" s="206"/>
      <c r="E993" s="207"/>
      <c r="F993" s="208"/>
      <c r="I993" s="298"/>
    </row>
    <row r="994" spans="1:9" ht="14.25">
      <c r="A994" s="47" t="s">
        <v>114</v>
      </c>
      <c r="B994" s="32" t="s">
        <v>252</v>
      </c>
      <c r="C994" s="2" t="s">
        <v>64</v>
      </c>
      <c r="D994" s="170">
        <f>D223</f>
        <v>260</v>
      </c>
      <c r="E994" s="145"/>
      <c r="F994" s="123">
        <f t="shared" ref="F994:F997" si="109">SUM(D994*E994)</f>
        <v>0</v>
      </c>
      <c r="I994" s="298"/>
    </row>
    <row r="995" spans="1:9" ht="14.25">
      <c r="A995" s="47" t="s">
        <v>115</v>
      </c>
      <c r="B995" s="32" t="s">
        <v>253</v>
      </c>
      <c r="C995" s="2" t="s">
        <v>64</v>
      </c>
      <c r="D995" s="170">
        <f>D223</f>
        <v>260</v>
      </c>
      <c r="E995" s="145"/>
      <c r="F995" s="123">
        <f t="shared" si="109"/>
        <v>0</v>
      </c>
      <c r="I995" s="298"/>
    </row>
    <row r="996" spans="1:9" ht="14.25">
      <c r="A996" s="47" t="s">
        <v>116</v>
      </c>
      <c r="B996" s="32" t="s">
        <v>254</v>
      </c>
      <c r="C996" s="2" t="s">
        <v>64</v>
      </c>
      <c r="D996" s="170">
        <f>D223</f>
        <v>260</v>
      </c>
      <c r="E996" s="145"/>
      <c r="F996" s="123">
        <f t="shared" si="109"/>
        <v>0</v>
      </c>
      <c r="I996" s="298"/>
    </row>
    <row r="997" spans="1:9" ht="14.25">
      <c r="A997" s="47" t="s">
        <v>117</v>
      </c>
      <c r="B997" s="32" t="s">
        <v>255</v>
      </c>
      <c r="C997" s="2" t="s">
        <v>64</v>
      </c>
      <c r="D997" s="170">
        <f>D223</f>
        <v>260</v>
      </c>
      <c r="E997" s="145"/>
      <c r="F997" s="123">
        <f t="shared" si="109"/>
        <v>0</v>
      </c>
      <c r="I997" s="298"/>
    </row>
    <row r="998" spans="1:9">
      <c r="B998" s="32"/>
      <c r="D998" s="170"/>
      <c r="E998" s="145"/>
      <c r="F998" s="201"/>
      <c r="I998" s="298"/>
    </row>
    <row r="999" spans="1:9">
      <c r="B999" s="32" t="s">
        <v>112</v>
      </c>
      <c r="C999" s="126"/>
      <c r="D999" s="206"/>
      <c r="E999" s="207"/>
      <c r="F999" s="208"/>
      <c r="I999" s="298"/>
    </row>
    <row r="1000" spans="1:9" ht="14.25">
      <c r="A1000" s="47" t="s">
        <v>118</v>
      </c>
      <c r="B1000" s="32" t="s">
        <v>252</v>
      </c>
      <c r="C1000" s="2" t="s">
        <v>64</v>
      </c>
      <c r="D1000" s="170">
        <f>D228</f>
        <v>260</v>
      </c>
      <c r="E1000" s="145"/>
      <c r="F1000" s="123">
        <f t="shared" ref="F1000:F1003" si="110">SUM(D1000*E1000)</f>
        <v>0</v>
      </c>
      <c r="I1000" s="298"/>
    </row>
    <row r="1001" spans="1:9" ht="14.25">
      <c r="A1001" s="47" t="s">
        <v>119</v>
      </c>
      <c r="B1001" s="32" t="s">
        <v>253</v>
      </c>
      <c r="C1001" s="2" t="s">
        <v>64</v>
      </c>
      <c r="D1001" s="170">
        <f>D228</f>
        <v>260</v>
      </c>
      <c r="E1001" s="145"/>
      <c r="F1001" s="123">
        <f t="shared" si="110"/>
        <v>0</v>
      </c>
      <c r="I1001" s="298"/>
    </row>
    <row r="1002" spans="1:9" ht="14.25">
      <c r="A1002" s="47" t="s">
        <v>120</v>
      </c>
      <c r="B1002" s="32" t="s">
        <v>254</v>
      </c>
      <c r="C1002" s="2" t="s">
        <v>64</v>
      </c>
      <c r="D1002" s="170">
        <f>D228</f>
        <v>260</v>
      </c>
      <c r="E1002" s="145"/>
      <c r="F1002" s="123">
        <f t="shared" si="110"/>
        <v>0</v>
      </c>
      <c r="I1002" s="298"/>
    </row>
    <row r="1003" spans="1:9" ht="14.25">
      <c r="A1003" s="47" t="s">
        <v>121</v>
      </c>
      <c r="B1003" s="32" t="s">
        <v>255</v>
      </c>
      <c r="C1003" s="2" t="s">
        <v>64</v>
      </c>
      <c r="D1003" s="170">
        <f>D228</f>
        <v>260</v>
      </c>
      <c r="E1003" s="145"/>
      <c r="F1003" s="123">
        <f t="shared" si="110"/>
        <v>0</v>
      </c>
      <c r="I1003" s="298"/>
    </row>
    <row r="1004" spans="1:9">
      <c r="B1004" s="100"/>
      <c r="D1004" s="143"/>
      <c r="E1004" s="145"/>
      <c r="F1004" s="209"/>
      <c r="I1004" s="298"/>
    </row>
    <row r="1005" spans="1:9">
      <c r="B1005" s="53"/>
      <c r="D1005" s="143"/>
      <c r="E1005" s="145"/>
      <c r="F1005" s="144"/>
      <c r="I1005" s="298"/>
    </row>
    <row r="1006" spans="1:9">
      <c r="A1006" s="55"/>
      <c r="B1006" s="210" t="s">
        <v>256</v>
      </c>
      <c r="C1006" s="198"/>
      <c r="D1006" s="211"/>
      <c r="E1006" s="212"/>
      <c r="F1006" s="213">
        <f>SUM(F993:F1004)</f>
        <v>0</v>
      </c>
      <c r="I1006" s="298"/>
    </row>
    <row r="1007" spans="1:9">
      <c r="B1007" s="26"/>
      <c r="C1007" s="110"/>
      <c r="D1007" s="214"/>
      <c r="E1007" s="171"/>
      <c r="F1007" s="215"/>
      <c r="I1007" s="298"/>
    </row>
    <row r="1008" spans="1:9">
      <c r="B1008" s="26"/>
      <c r="C1008" s="110"/>
      <c r="D1008" s="214"/>
      <c r="E1008" s="171"/>
      <c r="F1008" s="215"/>
      <c r="I1008" s="298"/>
    </row>
    <row r="1009" spans="2:21" ht="12.75" customHeight="1">
      <c r="B1009" s="26"/>
      <c r="C1009" s="110"/>
      <c r="D1009" s="214"/>
      <c r="E1009" s="171"/>
      <c r="F1009" s="215"/>
      <c r="H1009" s="292"/>
      <c r="I1009" s="299"/>
      <c r="J1009" s="276"/>
      <c r="K1009" s="101"/>
      <c r="L1009" s="101"/>
      <c r="M1009" s="101"/>
      <c r="N1009" s="101"/>
      <c r="O1009" s="101"/>
      <c r="P1009" s="101"/>
      <c r="Q1009" s="101"/>
      <c r="R1009" s="101"/>
      <c r="S1009" s="101"/>
      <c r="T1009" s="101"/>
      <c r="U1009" s="101"/>
    </row>
    <row r="1010" spans="2:21" ht="12.75" customHeight="1">
      <c r="B1010" s="26"/>
      <c r="C1010" s="110"/>
      <c r="D1010" s="214"/>
      <c r="E1010" s="171"/>
      <c r="F1010" s="215"/>
      <c r="H1010" s="292"/>
      <c r="I1010" s="299"/>
      <c r="J1010" s="276"/>
      <c r="K1010" s="101"/>
      <c r="L1010" s="101"/>
      <c r="M1010" s="101"/>
      <c r="N1010" s="101"/>
      <c r="O1010" s="101"/>
      <c r="P1010" s="101"/>
      <c r="Q1010" s="101"/>
      <c r="R1010" s="101"/>
      <c r="S1010" s="101"/>
      <c r="T1010" s="101"/>
      <c r="U1010" s="101"/>
    </row>
    <row r="1011" spans="2:21" ht="12.75" customHeight="1">
      <c r="B1011" s="26"/>
      <c r="C1011" s="110"/>
      <c r="D1011" s="214"/>
      <c r="E1011" s="171"/>
      <c r="F1011" s="215"/>
      <c r="H1011" s="292"/>
      <c r="I1011" s="299"/>
      <c r="J1011" s="276"/>
      <c r="K1011" s="101"/>
      <c r="L1011" s="101"/>
      <c r="M1011" s="101"/>
      <c r="N1011" s="101"/>
      <c r="O1011" s="101"/>
      <c r="P1011" s="101"/>
      <c r="Q1011" s="101"/>
      <c r="R1011" s="101"/>
      <c r="S1011" s="101"/>
      <c r="T1011" s="101"/>
      <c r="U1011" s="101"/>
    </row>
    <row r="1012" spans="2:21" ht="12.75" customHeight="1">
      <c r="B1012" s="26"/>
      <c r="C1012" s="110"/>
      <c r="D1012" s="214"/>
      <c r="E1012" s="171"/>
      <c r="F1012" s="215"/>
      <c r="H1012" s="292"/>
      <c r="I1012" s="299"/>
      <c r="J1012" s="276"/>
      <c r="K1012" s="101"/>
      <c r="L1012" s="101"/>
      <c r="M1012" s="101"/>
      <c r="N1012" s="101"/>
      <c r="O1012" s="101"/>
      <c r="P1012" s="101"/>
      <c r="Q1012" s="101"/>
      <c r="R1012" s="101"/>
      <c r="S1012" s="101"/>
      <c r="T1012" s="101"/>
      <c r="U1012" s="101"/>
    </row>
    <row r="1013" spans="2:21" ht="12.75" customHeight="1">
      <c r="B1013" s="26"/>
      <c r="C1013" s="110"/>
      <c r="D1013" s="214"/>
      <c r="E1013" s="171"/>
      <c r="F1013" s="215"/>
      <c r="H1013" s="292"/>
      <c r="I1013" s="299"/>
      <c r="J1013" s="276"/>
      <c r="K1013" s="101"/>
      <c r="L1013" s="101"/>
      <c r="M1013" s="101"/>
      <c r="N1013" s="101"/>
      <c r="O1013" s="101"/>
      <c r="P1013" s="101"/>
      <c r="Q1013" s="101"/>
      <c r="R1013" s="101"/>
      <c r="S1013" s="101"/>
      <c r="T1013" s="101"/>
      <c r="U1013" s="101"/>
    </row>
    <row r="1014" spans="2:21" ht="12.75" customHeight="1">
      <c r="B1014" s="26"/>
      <c r="C1014" s="110"/>
      <c r="D1014" s="214"/>
      <c r="E1014" s="171"/>
      <c r="F1014" s="215"/>
      <c r="H1014" s="292"/>
      <c r="I1014" s="299"/>
      <c r="J1014" s="276"/>
      <c r="K1014" s="101"/>
      <c r="L1014" s="101"/>
      <c r="M1014" s="101"/>
      <c r="N1014" s="101"/>
      <c r="O1014" s="101"/>
      <c r="P1014" s="101"/>
      <c r="Q1014" s="101"/>
      <c r="R1014" s="101"/>
      <c r="S1014" s="101"/>
      <c r="T1014" s="101"/>
      <c r="U1014" s="101"/>
    </row>
    <row r="1015" spans="2:21" ht="12.75" customHeight="1">
      <c r="B1015" s="26"/>
      <c r="C1015" s="110"/>
      <c r="D1015" s="214"/>
      <c r="E1015" s="171"/>
      <c r="F1015" s="215"/>
      <c r="H1015" s="292"/>
      <c r="I1015" s="299"/>
      <c r="J1015" s="276"/>
      <c r="K1015" s="101"/>
      <c r="L1015" s="101"/>
      <c r="M1015" s="101"/>
      <c r="N1015" s="101"/>
      <c r="O1015" s="101"/>
      <c r="P1015" s="101"/>
      <c r="Q1015" s="101"/>
      <c r="R1015" s="101"/>
      <c r="S1015" s="101"/>
      <c r="T1015" s="101"/>
      <c r="U1015" s="101"/>
    </row>
    <row r="1016" spans="2:21" ht="12.75" customHeight="1">
      <c r="B1016" s="26"/>
      <c r="C1016" s="110"/>
      <c r="D1016" s="214"/>
      <c r="E1016" s="171"/>
      <c r="F1016" s="215"/>
      <c r="H1016" s="292"/>
      <c r="I1016" s="299"/>
      <c r="J1016" s="276"/>
      <c r="K1016" s="101"/>
      <c r="L1016" s="101"/>
      <c r="M1016" s="101"/>
      <c r="N1016" s="101"/>
      <c r="O1016" s="101"/>
      <c r="P1016" s="101"/>
      <c r="Q1016" s="101"/>
      <c r="R1016" s="101"/>
      <c r="S1016" s="101"/>
      <c r="T1016" s="101"/>
      <c r="U1016" s="101"/>
    </row>
    <row r="1017" spans="2:21" ht="12.75" customHeight="1">
      <c r="B1017" s="26"/>
      <c r="C1017" s="110"/>
      <c r="D1017" s="214"/>
      <c r="E1017" s="171"/>
      <c r="F1017" s="215"/>
      <c r="H1017" s="292"/>
      <c r="I1017" s="299"/>
      <c r="J1017" s="276"/>
      <c r="K1017" s="101"/>
      <c r="L1017" s="101"/>
      <c r="M1017" s="101"/>
      <c r="N1017" s="101"/>
      <c r="O1017" s="101"/>
      <c r="P1017" s="101"/>
      <c r="Q1017" s="101"/>
      <c r="R1017" s="101"/>
      <c r="S1017" s="101"/>
      <c r="T1017" s="101"/>
      <c r="U1017" s="101"/>
    </row>
    <row r="1018" spans="2:21" ht="12.75" customHeight="1">
      <c r="B1018" s="26"/>
      <c r="C1018" s="110"/>
      <c r="D1018" s="214"/>
      <c r="E1018" s="171"/>
      <c r="F1018" s="215"/>
      <c r="H1018" s="292"/>
      <c r="I1018" s="299"/>
      <c r="J1018" s="276"/>
      <c r="K1018" s="101"/>
      <c r="L1018" s="101"/>
      <c r="M1018" s="101"/>
      <c r="N1018" s="101"/>
      <c r="O1018" s="101"/>
      <c r="P1018" s="101"/>
      <c r="Q1018" s="101"/>
      <c r="R1018" s="101"/>
      <c r="S1018" s="101"/>
      <c r="T1018" s="101"/>
      <c r="U1018" s="101"/>
    </row>
    <row r="1019" spans="2:21" ht="12.75" customHeight="1">
      <c r="B1019" s="26"/>
      <c r="C1019" s="110"/>
      <c r="D1019" s="214"/>
      <c r="E1019" s="171"/>
      <c r="F1019" s="215"/>
      <c r="H1019" s="292"/>
      <c r="I1019" s="299"/>
      <c r="J1019" s="276"/>
      <c r="K1019" s="101"/>
      <c r="L1019" s="101"/>
      <c r="M1019" s="101"/>
      <c r="N1019" s="101"/>
      <c r="O1019" s="101"/>
      <c r="P1019" s="101"/>
      <c r="Q1019" s="101"/>
      <c r="R1019" s="101"/>
      <c r="S1019" s="101"/>
      <c r="T1019" s="101"/>
      <c r="U1019" s="101"/>
    </row>
    <row r="1020" spans="2:21" ht="12.75" customHeight="1">
      <c r="B1020" s="26"/>
      <c r="C1020" s="110"/>
      <c r="D1020" s="214"/>
      <c r="E1020" s="171"/>
      <c r="F1020" s="215"/>
      <c r="H1020" s="292"/>
      <c r="I1020" s="299"/>
      <c r="J1020" s="276"/>
      <c r="K1020" s="101"/>
      <c r="L1020" s="101"/>
      <c r="M1020" s="101"/>
      <c r="N1020" s="101"/>
      <c r="O1020" s="101"/>
      <c r="P1020" s="101"/>
      <c r="Q1020" s="101"/>
      <c r="R1020" s="101"/>
      <c r="S1020" s="101"/>
      <c r="T1020" s="101"/>
      <c r="U1020" s="101"/>
    </row>
    <row r="1021" spans="2:21" ht="12.75" customHeight="1">
      <c r="B1021" s="26"/>
      <c r="C1021" s="110"/>
      <c r="D1021" s="214"/>
      <c r="E1021" s="171"/>
      <c r="F1021" s="215"/>
      <c r="H1021" s="292"/>
      <c r="I1021" s="299"/>
      <c r="J1021" s="276"/>
      <c r="K1021" s="101"/>
      <c r="L1021" s="101"/>
      <c r="M1021" s="101"/>
      <c r="N1021" s="101"/>
      <c r="O1021" s="101"/>
      <c r="P1021" s="101"/>
      <c r="Q1021" s="101"/>
      <c r="R1021" s="101"/>
      <c r="S1021" s="101"/>
      <c r="T1021" s="101"/>
      <c r="U1021" s="101"/>
    </row>
    <row r="1022" spans="2:21" ht="12.75" customHeight="1">
      <c r="B1022" s="26"/>
      <c r="C1022" s="110"/>
      <c r="D1022" s="214"/>
      <c r="E1022" s="171"/>
      <c r="F1022" s="215"/>
      <c r="H1022" s="292"/>
      <c r="I1022" s="299"/>
      <c r="J1022" s="276"/>
      <c r="K1022" s="101"/>
      <c r="L1022" s="101"/>
      <c r="M1022" s="101"/>
      <c r="N1022" s="101"/>
      <c r="O1022" s="101"/>
      <c r="P1022" s="101"/>
      <c r="Q1022" s="101"/>
      <c r="R1022" s="101"/>
      <c r="S1022" s="101"/>
      <c r="T1022" s="101"/>
      <c r="U1022" s="101"/>
    </row>
    <row r="1023" spans="2:21" ht="12.75" customHeight="1">
      <c r="B1023" s="26"/>
      <c r="C1023" s="110"/>
      <c r="D1023" s="214"/>
      <c r="E1023" s="171"/>
      <c r="F1023" s="215"/>
      <c r="H1023" s="292"/>
      <c r="I1023" s="299"/>
      <c r="J1023" s="276"/>
      <c r="K1023" s="101"/>
      <c r="L1023" s="101"/>
      <c r="M1023" s="101"/>
      <c r="N1023" s="101"/>
      <c r="O1023" s="101"/>
      <c r="P1023" s="101"/>
      <c r="Q1023" s="101"/>
      <c r="R1023" s="101"/>
      <c r="S1023" s="101"/>
      <c r="T1023" s="101"/>
      <c r="U1023" s="101"/>
    </row>
    <row r="1024" spans="2:21" ht="12.75" customHeight="1">
      <c r="B1024" s="26"/>
      <c r="C1024" s="110"/>
      <c r="D1024" s="214"/>
      <c r="E1024" s="171"/>
      <c r="F1024" s="215"/>
      <c r="H1024" s="292"/>
      <c r="I1024" s="299"/>
      <c r="J1024" s="276"/>
      <c r="K1024" s="101"/>
      <c r="L1024" s="101"/>
      <c r="M1024" s="101"/>
      <c r="N1024" s="101"/>
      <c r="O1024" s="101"/>
      <c r="P1024" s="101"/>
      <c r="Q1024" s="101"/>
      <c r="R1024" s="101"/>
      <c r="S1024" s="101"/>
      <c r="T1024" s="101"/>
      <c r="U1024" s="101"/>
    </row>
    <row r="1025" spans="1:21" ht="12.75" customHeight="1">
      <c r="B1025" s="26"/>
      <c r="C1025" s="110"/>
      <c r="D1025" s="214"/>
      <c r="E1025" s="171"/>
      <c r="F1025" s="215"/>
      <c r="H1025" s="292"/>
      <c r="I1025" s="299"/>
      <c r="J1025" s="276"/>
      <c r="K1025" s="101"/>
      <c r="L1025" s="101"/>
      <c r="M1025" s="101"/>
      <c r="N1025" s="101"/>
      <c r="O1025" s="101"/>
      <c r="P1025" s="101"/>
      <c r="Q1025" s="101"/>
      <c r="R1025" s="101"/>
      <c r="S1025" s="101"/>
      <c r="T1025" s="101"/>
      <c r="U1025" s="101"/>
    </row>
    <row r="1026" spans="1:21" ht="12.75" customHeight="1">
      <c r="B1026" s="26"/>
      <c r="C1026" s="110"/>
      <c r="D1026" s="214"/>
      <c r="E1026" s="171"/>
      <c r="F1026" s="215"/>
      <c r="H1026" s="292"/>
      <c r="I1026" s="299"/>
      <c r="J1026" s="276"/>
      <c r="K1026" s="101"/>
      <c r="L1026" s="101"/>
      <c r="M1026" s="101"/>
      <c r="N1026" s="101"/>
      <c r="O1026" s="101"/>
      <c r="P1026" s="101"/>
      <c r="Q1026" s="101"/>
      <c r="R1026" s="101"/>
      <c r="S1026" s="101"/>
      <c r="T1026" s="101"/>
      <c r="U1026" s="101"/>
    </row>
    <row r="1027" spans="1:21" ht="12.75" customHeight="1">
      <c r="B1027" s="26"/>
      <c r="C1027" s="110"/>
      <c r="D1027" s="214"/>
      <c r="E1027" s="171"/>
      <c r="F1027" s="215"/>
      <c r="H1027" s="292"/>
      <c r="I1027" s="299"/>
      <c r="J1027" s="276"/>
      <c r="K1027" s="101"/>
      <c r="L1027" s="101"/>
      <c r="M1027" s="101"/>
      <c r="N1027" s="101"/>
      <c r="O1027" s="101"/>
      <c r="P1027" s="101"/>
      <c r="Q1027" s="101"/>
      <c r="R1027" s="101"/>
      <c r="S1027" s="101"/>
      <c r="T1027" s="101"/>
      <c r="U1027" s="101"/>
    </row>
    <row r="1028" spans="1:21" ht="12.75" customHeight="1">
      <c r="B1028" s="26"/>
      <c r="C1028" s="110"/>
      <c r="D1028" s="214"/>
      <c r="E1028" s="171"/>
      <c r="F1028" s="215"/>
      <c r="H1028" s="292"/>
      <c r="I1028" s="299"/>
      <c r="J1028" s="276"/>
      <c r="K1028" s="101"/>
      <c r="L1028" s="101"/>
      <c r="M1028" s="101"/>
      <c r="N1028" s="101"/>
      <c r="O1028" s="101"/>
      <c r="P1028" s="101"/>
      <c r="Q1028" s="101"/>
      <c r="R1028" s="101"/>
      <c r="S1028" s="101"/>
      <c r="T1028" s="101"/>
      <c r="U1028" s="101"/>
    </row>
    <row r="1029" spans="1:21" ht="12.75" customHeight="1">
      <c r="B1029" s="26"/>
      <c r="C1029" s="110"/>
      <c r="D1029" s="214"/>
      <c r="E1029" s="171"/>
      <c r="F1029" s="215"/>
      <c r="H1029" s="292"/>
      <c r="I1029" s="299"/>
      <c r="J1029" s="276"/>
      <c r="K1029" s="101"/>
      <c r="L1029" s="101"/>
      <c r="M1029" s="101"/>
      <c r="N1029" s="101"/>
      <c r="O1029" s="101"/>
      <c r="P1029" s="101"/>
      <c r="Q1029" s="101"/>
      <c r="R1029" s="101"/>
      <c r="S1029" s="101"/>
      <c r="T1029" s="101"/>
      <c r="U1029" s="101"/>
    </row>
    <row r="1030" spans="1:21" ht="12.75" customHeight="1">
      <c r="B1030" s="26"/>
      <c r="C1030" s="110"/>
      <c r="D1030" s="214"/>
      <c r="E1030" s="171"/>
      <c r="F1030" s="215"/>
      <c r="H1030" s="292"/>
      <c r="I1030" s="299"/>
      <c r="J1030" s="276"/>
      <c r="K1030" s="101"/>
      <c r="L1030" s="101"/>
      <c r="M1030" s="101"/>
      <c r="N1030" s="101"/>
      <c r="O1030" s="101"/>
      <c r="P1030" s="101"/>
      <c r="Q1030" s="101"/>
      <c r="R1030" s="101"/>
      <c r="S1030" s="101"/>
      <c r="T1030" s="101"/>
      <c r="U1030" s="101"/>
    </row>
    <row r="1031" spans="1:21" ht="12.75" customHeight="1">
      <c r="B1031" s="26"/>
      <c r="C1031" s="110"/>
      <c r="D1031" s="214"/>
      <c r="E1031" s="171"/>
      <c r="F1031" s="215"/>
      <c r="H1031" s="292"/>
      <c r="I1031" s="299"/>
      <c r="J1031" s="276"/>
      <c r="K1031" s="101"/>
      <c r="L1031" s="101"/>
      <c r="M1031" s="101"/>
      <c r="N1031" s="101"/>
      <c r="O1031" s="101"/>
      <c r="P1031" s="101"/>
      <c r="Q1031" s="101"/>
      <c r="R1031" s="101"/>
      <c r="S1031" s="101"/>
      <c r="T1031" s="101"/>
      <c r="U1031" s="101"/>
    </row>
    <row r="1032" spans="1:21" ht="12.75" customHeight="1">
      <c r="B1032" s="26"/>
      <c r="C1032" s="110"/>
      <c r="D1032" s="214"/>
      <c r="E1032" s="171"/>
      <c r="F1032" s="215"/>
      <c r="H1032" s="292"/>
      <c r="I1032" s="299"/>
      <c r="J1032" s="276"/>
      <c r="K1032" s="101"/>
      <c r="L1032" s="101"/>
      <c r="M1032" s="101"/>
      <c r="N1032" s="101"/>
      <c r="O1032" s="101"/>
      <c r="P1032" s="101"/>
      <c r="Q1032" s="101"/>
      <c r="R1032" s="101"/>
      <c r="S1032" s="101"/>
      <c r="T1032" s="101"/>
      <c r="U1032" s="101"/>
    </row>
    <row r="1033" spans="1:21" ht="12.75" customHeight="1">
      <c r="B1033" s="26"/>
      <c r="C1033" s="110"/>
      <c r="D1033" s="214"/>
      <c r="E1033" s="171"/>
      <c r="F1033" s="215"/>
      <c r="H1033" s="292"/>
      <c r="I1033" s="299"/>
      <c r="J1033" s="276"/>
      <c r="K1033" s="101"/>
      <c r="L1033" s="101"/>
      <c r="M1033" s="101"/>
      <c r="N1033" s="101"/>
      <c r="O1033" s="101"/>
      <c r="P1033" s="101"/>
      <c r="Q1033" s="101"/>
      <c r="R1033" s="101"/>
      <c r="S1033" s="101"/>
      <c r="T1033" s="101"/>
      <c r="U1033" s="101"/>
    </row>
    <row r="1034" spans="1:21" ht="12.75" customHeight="1">
      <c r="B1034" s="26"/>
      <c r="C1034" s="110"/>
      <c r="D1034" s="214"/>
      <c r="E1034" s="171"/>
      <c r="F1034" s="215"/>
      <c r="H1034" s="292"/>
      <c r="I1034" s="299"/>
      <c r="J1034" s="276"/>
      <c r="K1034" s="101"/>
      <c r="L1034" s="101"/>
      <c r="M1034" s="101"/>
      <c r="N1034" s="101"/>
      <c r="O1034" s="101"/>
      <c r="P1034" s="101"/>
      <c r="Q1034" s="101"/>
      <c r="R1034" s="101"/>
      <c r="S1034" s="101"/>
      <c r="T1034" s="101"/>
      <c r="U1034" s="101"/>
    </row>
    <row r="1035" spans="1:21" ht="12.75" customHeight="1">
      <c r="B1035" s="26"/>
      <c r="C1035" s="110"/>
      <c r="D1035" s="214"/>
      <c r="E1035" s="171"/>
      <c r="F1035" s="215"/>
      <c r="H1035" s="292"/>
      <c r="I1035" s="299"/>
      <c r="J1035" s="276"/>
      <c r="K1035" s="101"/>
      <c r="L1035" s="101"/>
      <c r="M1035" s="101"/>
      <c r="N1035" s="101"/>
      <c r="O1035" s="101"/>
      <c r="P1035" s="101"/>
      <c r="Q1035" s="101"/>
      <c r="R1035" s="101"/>
      <c r="S1035" s="101"/>
      <c r="T1035" s="101"/>
      <c r="U1035" s="101"/>
    </row>
    <row r="1036" spans="1:21" ht="12.75" customHeight="1">
      <c r="B1036" s="26"/>
      <c r="C1036" s="110"/>
      <c r="D1036" s="214"/>
      <c r="E1036" s="171"/>
      <c r="F1036" s="215"/>
      <c r="H1036" s="292"/>
      <c r="I1036" s="299"/>
      <c r="J1036" s="276"/>
      <c r="K1036" s="101"/>
      <c r="L1036" s="101"/>
      <c r="M1036" s="101"/>
      <c r="N1036" s="101"/>
      <c r="O1036" s="101"/>
      <c r="P1036" s="101"/>
      <c r="Q1036" s="101"/>
      <c r="R1036" s="101"/>
      <c r="S1036" s="101"/>
      <c r="T1036" s="101"/>
      <c r="U1036" s="101"/>
    </row>
    <row r="1037" spans="1:21">
      <c r="A1037" s="106" t="s">
        <v>399</v>
      </c>
      <c r="B1037" s="52" t="s">
        <v>400</v>
      </c>
      <c r="C1037" s="102" t="s">
        <v>32</v>
      </c>
      <c r="D1037" s="203" t="s">
        <v>0</v>
      </c>
      <c r="E1037" s="204" t="s">
        <v>31</v>
      </c>
      <c r="F1037" s="205" t="s">
        <v>1</v>
      </c>
      <c r="I1037" s="298"/>
    </row>
    <row r="1038" spans="1:21" ht="12.75" customHeight="1">
      <c r="B1038" s="53"/>
      <c r="D1038" s="143"/>
      <c r="E1038" s="145"/>
      <c r="F1038" s="144"/>
      <c r="H1038" s="292"/>
      <c r="I1038" s="299"/>
      <c r="J1038" s="276"/>
      <c r="K1038" s="101"/>
      <c r="L1038" s="101"/>
      <c r="M1038" s="101"/>
      <c r="N1038" s="101"/>
      <c r="O1038" s="101"/>
      <c r="P1038" s="101"/>
      <c r="Q1038" s="101"/>
      <c r="R1038" s="101"/>
      <c r="S1038" s="101"/>
      <c r="T1038" s="101"/>
      <c r="U1038" s="101"/>
    </row>
    <row r="1039" spans="1:21" ht="12.75" customHeight="1">
      <c r="B1039" s="49" t="s">
        <v>248</v>
      </c>
      <c r="D1039" s="143"/>
      <c r="E1039" s="145"/>
      <c r="F1039" s="144"/>
      <c r="H1039" s="292"/>
      <c r="I1039" s="299"/>
      <c r="J1039" s="276"/>
      <c r="K1039" s="101"/>
      <c r="L1039" s="101"/>
      <c r="M1039" s="101"/>
      <c r="N1039" s="101"/>
      <c r="O1039" s="101"/>
      <c r="P1039" s="101"/>
      <c r="Q1039" s="101"/>
      <c r="R1039" s="101"/>
      <c r="S1039" s="101"/>
      <c r="T1039" s="101"/>
      <c r="U1039" s="101"/>
    </row>
    <row r="1040" spans="1:21" ht="114.75" customHeight="1">
      <c r="A1040" s="47" t="s">
        <v>2</v>
      </c>
      <c r="B1040" s="32" t="s">
        <v>402</v>
      </c>
      <c r="C1040" s="126"/>
      <c r="D1040" s="206"/>
      <c r="E1040" s="207"/>
      <c r="F1040" s="208"/>
      <c r="H1040" s="292"/>
      <c r="I1040" s="299"/>
      <c r="J1040" s="276"/>
      <c r="K1040" s="101"/>
      <c r="L1040" s="101"/>
      <c r="M1040" s="101"/>
      <c r="N1040" s="101"/>
      <c r="O1040" s="101"/>
      <c r="P1040" s="101"/>
      <c r="Q1040" s="101"/>
      <c r="R1040" s="101"/>
      <c r="S1040" s="101"/>
      <c r="T1040" s="101"/>
      <c r="U1040" s="101"/>
    </row>
    <row r="1041" spans="1:21">
      <c r="A1041" s="47" t="s">
        <v>114</v>
      </c>
      <c r="B1041" s="13" t="s">
        <v>388</v>
      </c>
      <c r="C1041" s="104" t="s">
        <v>190</v>
      </c>
      <c r="D1041" s="195">
        <v>4.3</v>
      </c>
      <c r="F1041" s="123">
        <f t="shared" ref="F1041:F1044" si="111">SUM(D1041*E1041)</f>
        <v>0</v>
      </c>
      <c r="I1041" s="298"/>
    </row>
    <row r="1042" spans="1:21">
      <c r="A1042" s="47" t="s">
        <v>115</v>
      </c>
      <c r="B1042" s="13" t="s">
        <v>389</v>
      </c>
      <c r="C1042" s="104" t="s">
        <v>190</v>
      </c>
      <c r="D1042" s="195">
        <v>5</v>
      </c>
      <c r="F1042" s="123">
        <f t="shared" si="111"/>
        <v>0</v>
      </c>
      <c r="I1042" s="298"/>
    </row>
    <row r="1043" spans="1:21">
      <c r="A1043" s="47" t="s">
        <v>116</v>
      </c>
      <c r="B1043" s="13" t="s">
        <v>390</v>
      </c>
      <c r="C1043" s="104" t="s">
        <v>190</v>
      </c>
      <c r="D1043" s="195">
        <v>3.9</v>
      </c>
      <c r="F1043" s="123">
        <f t="shared" si="111"/>
        <v>0</v>
      </c>
      <c r="I1043" s="298"/>
    </row>
    <row r="1044" spans="1:21">
      <c r="A1044" s="47" t="s">
        <v>117</v>
      </c>
      <c r="B1044" s="13" t="s">
        <v>391</v>
      </c>
      <c r="C1044" s="104" t="s">
        <v>190</v>
      </c>
      <c r="D1044" s="195">
        <v>3.9</v>
      </c>
      <c r="F1044" s="123">
        <f t="shared" si="111"/>
        <v>0</v>
      </c>
      <c r="I1044" s="298"/>
    </row>
    <row r="1045" spans="1:21" ht="12.75" customHeight="1">
      <c r="B1045" s="32"/>
      <c r="D1045" s="170"/>
      <c r="E1045" s="145"/>
      <c r="F1045" s="201"/>
      <c r="H1045" s="292"/>
      <c r="I1045" s="299"/>
      <c r="J1045" s="276"/>
      <c r="K1045" s="101"/>
      <c r="L1045" s="101"/>
      <c r="M1045" s="101"/>
      <c r="N1045" s="101"/>
      <c r="O1045" s="101"/>
      <c r="P1045" s="101"/>
      <c r="Q1045" s="101"/>
      <c r="R1045" s="101"/>
      <c r="S1045" s="101"/>
      <c r="T1045" s="101"/>
      <c r="U1045" s="101"/>
    </row>
    <row r="1046" spans="1:21" ht="12.75" customHeight="1">
      <c r="B1046" s="32"/>
      <c r="D1046" s="170"/>
      <c r="E1046" s="145"/>
      <c r="F1046" s="201"/>
      <c r="H1046" s="292"/>
      <c r="I1046" s="299"/>
      <c r="J1046" s="276"/>
      <c r="K1046" s="101"/>
      <c r="L1046" s="101"/>
      <c r="M1046" s="101"/>
      <c r="N1046" s="101"/>
      <c r="O1046" s="101"/>
      <c r="P1046" s="101"/>
      <c r="Q1046" s="101"/>
      <c r="R1046" s="101"/>
      <c r="S1046" s="101"/>
      <c r="T1046" s="101"/>
      <c r="U1046" s="101"/>
    </row>
    <row r="1047" spans="1:21" ht="12.75" customHeight="1">
      <c r="B1047" s="32"/>
      <c r="D1047" s="170"/>
      <c r="E1047" s="145"/>
      <c r="F1047" s="201"/>
      <c r="H1047" s="292"/>
      <c r="I1047" s="299"/>
      <c r="J1047" s="276"/>
      <c r="K1047" s="101"/>
      <c r="L1047" s="101"/>
      <c r="M1047" s="101"/>
      <c r="N1047" s="101"/>
      <c r="O1047" s="101"/>
      <c r="P1047" s="101"/>
      <c r="Q1047" s="101"/>
      <c r="R1047" s="101"/>
      <c r="S1047" s="101"/>
      <c r="T1047" s="101"/>
      <c r="U1047" s="101"/>
    </row>
    <row r="1048" spans="1:21" ht="12.75" customHeight="1">
      <c r="B1048" s="32"/>
      <c r="D1048" s="170"/>
      <c r="E1048" s="145"/>
      <c r="F1048" s="201"/>
      <c r="H1048" s="292"/>
      <c r="I1048" s="299"/>
      <c r="J1048" s="276"/>
      <c r="K1048" s="101"/>
      <c r="L1048" s="101"/>
      <c r="M1048" s="101"/>
      <c r="N1048" s="101"/>
      <c r="O1048" s="101"/>
      <c r="P1048" s="101"/>
      <c r="Q1048" s="101"/>
      <c r="R1048" s="101"/>
      <c r="S1048" s="101"/>
      <c r="T1048" s="101"/>
      <c r="U1048" s="101"/>
    </row>
    <row r="1049" spans="1:21" ht="12.75" customHeight="1">
      <c r="B1049" s="100"/>
      <c r="D1049" s="143"/>
      <c r="E1049" s="145"/>
      <c r="F1049" s="209"/>
      <c r="H1049" s="292"/>
      <c r="I1049" s="299"/>
      <c r="J1049" s="276"/>
      <c r="K1049" s="101"/>
      <c r="L1049" s="101"/>
      <c r="M1049" s="101"/>
      <c r="N1049" s="101"/>
      <c r="O1049" s="101"/>
      <c r="P1049" s="101"/>
      <c r="Q1049" s="101"/>
      <c r="R1049" s="101"/>
      <c r="S1049" s="101"/>
      <c r="T1049" s="101"/>
      <c r="U1049" s="101"/>
    </row>
    <row r="1050" spans="1:21" ht="12.75" customHeight="1">
      <c r="B1050" s="100"/>
      <c r="D1050" s="143"/>
      <c r="E1050" s="145"/>
      <c r="F1050" s="209"/>
      <c r="H1050" s="292"/>
      <c r="I1050" s="299"/>
      <c r="J1050" s="276"/>
      <c r="K1050" s="101"/>
      <c r="L1050" s="101"/>
      <c r="M1050" s="101"/>
      <c r="N1050" s="101"/>
      <c r="O1050" s="101"/>
      <c r="P1050" s="101"/>
      <c r="Q1050" s="101"/>
      <c r="R1050" s="101"/>
      <c r="S1050" s="101"/>
      <c r="T1050" s="101"/>
      <c r="U1050" s="101"/>
    </row>
    <row r="1051" spans="1:21" ht="12.75" customHeight="1">
      <c r="B1051" s="53"/>
      <c r="D1051" s="143"/>
      <c r="E1051" s="145"/>
      <c r="F1051" s="144"/>
      <c r="H1051" s="292"/>
      <c r="I1051" s="299"/>
      <c r="J1051" s="276"/>
      <c r="K1051" s="101"/>
      <c r="L1051" s="101"/>
      <c r="M1051" s="101"/>
      <c r="N1051" s="101"/>
      <c r="O1051" s="101"/>
      <c r="P1051" s="101"/>
      <c r="Q1051" s="101"/>
      <c r="R1051" s="101"/>
      <c r="S1051" s="101"/>
      <c r="T1051" s="101"/>
      <c r="U1051" s="101"/>
    </row>
    <row r="1052" spans="1:21">
      <c r="A1052" s="55"/>
      <c r="B1052" s="210" t="s">
        <v>401</v>
      </c>
      <c r="C1052" s="198"/>
      <c r="D1052" s="211"/>
      <c r="E1052" s="212"/>
      <c r="F1052" s="213">
        <f>SUM(F1040:F1047)</f>
        <v>0</v>
      </c>
      <c r="I1052" s="298"/>
    </row>
    <row r="1053" spans="1:21" ht="12.75" customHeight="1">
      <c r="B1053" s="26"/>
      <c r="C1053" s="110"/>
      <c r="D1053" s="214"/>
      <c r="E1053" s="171"/>
      <c r="F1053" s="215"/>
      <c r="H1053" s="292"/>
      <c r="I1053" s="299"/>
      <c r="J1053" s="276"/>
      <c r="K1053" s="101"/>
      <c r="L1053" s="101"/>
      <c r="M1053" s="101"/>
      <c r="N1053" s="101"/>
      <c r="O1053" s="101"/>
      <c r="P1053" s="101"/>
      <c r="Q1053" s="101"/>
      <c r="R1053" s="101"/>
      <c r="S1053" s="101"/>
      <c r="T1053" s="101"/>
      <c r="U1053" s="101"/>
    </row>
    <row r="1054" spans="1:21" ht="12.75" customHeight="1">
      <c r="B1054" s="26"/>
      <c r="C1054" s="110"/>
      <c r="D1054" s="214"/>
      <c r="E1054" s="171"/>
      <c r="F1054" s="215"/>
      <c r="H1054" s="292"/>
      <c r="I1054" s="299"/>
      <c r="J1054" s="276"/>
      <c r="K1054" s="101"/>
      <c r="L1054" s="101"/>
      <c r="M1054" s="101"/>
      <c r="N1054" s="101"/>
      <c r="O1054" s="101"/>
      <c r="P1054" s="101"/>
      <c r="Q1054" s="101"/>
      <c r="R1054" s="101"/>
      <c r="S1054" s="101"/>
      <c r="T1054" s="101"/>
      <c r="U1054" s="101"/>
    </row>
    <row r="1055" spans="1:21" ht="12.75" customHeight="1">
      <c r="B1055" s="26"/>
      <c r="C1055" s="110"/>
      <c r="D1055" s="214"/>
      <c r="E1055" s="171"/>
      <c r="F1055" s="215"/>
      <c r="H1055" s="292"/>
      <c r="I1055" s="299"/>
      <c r="J1055" s="276"/>
      <c r="K1055" s="101"/>
      <c r="L1055" s="101"/>
      <c r="M1055" s="101"/>
      <c r="N1055" s="101"/>
      <c r="O1055" s="101"/>
      <c r="P1055" s="101"/>
      <c r="Q1055" s="101"/>
      <c r="R1055" s="101"/>
      <c r="S1055" s="101"/>
      <c r="T1055" s="101"/>
      <c r="U1055" s="101"/>
    </row>
    <row r="1056" spans="1:21" ht="12.75" customHeight="1">
      <c r="B1056" s="26"/>
      <c r="C1056" s="110"/>
      <c r="D1056" s="214"/>
      <c r="E1056" s="171"/>
      <c r="F1056" s="215"/>
      <c r="H1056" s="292"/>
      <c r="I1056" s="299"/>
      <c r="J1056" s="276"/>
      <c r="K1056" s="101"/>
      <c r="L1056" s="101"/>
      <c r="M1056" s="101"/>
      <c r="N1056" s="101"/>
      <c r="O1056" s="101"/>
      <c r="P1056" s="101"/>
      <c r="Q1056" s="101"/>
      <c r="R1056" s="101"/>
      <c r="S1056" s="101"/>
      <c r="T1056" s="101"/>
      <c r="U1056" s="101"/>
    </row>
    <row r="1057" spans="2:21" ht="12.75" customHeight="1">
      <c r="B1057" s="26"/>
      <c r="C1057" s="110"/>
      <c r="D1057" s="214"/>
      <c r="E1057" s="171"/>
      <c r="F1057" s="215"/>
      <c r="H1057" s="292"/>
      <c r="I1057" s="299"/>
      <c r="J1057" s="276"/>
      <c r="K1057" s="101"/>
      <c r="L1057" s="101"/>
      <c r="M1057" s="101"/>
      <c r="N1057" s="101"/>
      <c r="O1057" s="101"/>
      <c r="P1057" s="101"/>
      <c r="Q1057" s="101"/>
      <c r="R1057" s="101"/>
      <c r="S1057" s="101"/>
      <c r="T1057" s="101"/>
      <c r="U1057" s="101"/>
    </row>
    <row r="1058" spans="2:21" ht="12.75" customHeight="1">
      <c r="B1058" s="26"/>
      <c r="C1058" s="110"/>
      <c r="D1058" s="214"/>
      <c r="E1058" s="171"/>
      <c r="F1058" s="215"/>
      <c r="H1058" s="292"/>
      <c r="I1058" s="299"/>
      <c r="J1058" s="276"/>
      <c r="K1058" s="101"/>
      <c r="L1058" s="101"/>
      <c r="M1058" s="101"/>
      <c r="N1058" s="101"/>
      <c r="O1058" s="101"/>
      <c r="P1058" s="101"/>
      <c r="Q1058" s="101"/>
      <c r="R1058" s="101"/>
      <c r="S1058" s="101"/>
      <c r="T1058" s="101"/>
      <c r="U1058" s="101"/>
    </row>
    <row r="1059" spans="2:21" ht="12.75" customHeight="1">
      <c r="B1059" s="26"/>
      <c r="C1059" s="110"/>
      <c r="D1059" s="214"/>
      <c r="E1059" s="171"/>
      <c r="F1059" s="215"/>
      <c r="H1059" s="292"/>
      <c r="I1059" s="299"/>
      <c r="J1059" s="276"/>
      <c r="K1059" s="101"/>
      <c r="L1059" s="101"/>
      <c r="M1059" s="101"/>
      <c r="N1059" s="101"/>
      <c r="O1059" s="101"/>
      <c r="P1059" s="101"/>
      <c r="Q1059" s="101"/>
      <c r="R1059" s="101"/>
      <c r="S1059" s="101"/>
      <c r="T1059" s="101"/>
      <c r="U1059" s="101"/>
    </row>
    <row r="1060" spans="2:21" ht="12.75" customHeight="1">
      <c r="B1060" s="26"/>
      <c r="C1060" s="110"/>
      <c r="D1060" s="214"/>
      <c r="E1060" s="171"/>
      <c r="F1060" s="215"/>
      <c r="H1060" s="292"/>
      <c r="I1060" s="299"/>
      <c r="J1060" s="276"/>
      <c r="K1060" s="101"/>
      <c r="L1060" s="101"/>
      <c r="M1060" s="101"/>
      <c r="N1060" s="101"/>
      <c r="O1060" s="101"/>
      <c r="P1060" s="101"/>
      <c r="Q1060" s="101"/>
      <c r="R1060" s="101"/>
      <c r="S1060" s="101"/>
      <c r="T1060" s="101"/>
      <c r="U1060" s="101"/>
    </row>
    <row r="1061" spans="2:21" ht="12.75" customHeight="1">
      <c r="B1061" s="26"/>
      <c r="C1061" s="110"/>
      <c r="D1061" s="214"/>
      <c r="E1061" s="171"/>
      <c r="F1061" s="215"/>
      <c r="H1061" s="292"/>
      <c r="I1061" s="299"/>
      <c r="J1061" s="276"/>
      <c r="K1061" s="101"/>
      <c r="L1061" s="101"/>
      <c r="M1061" s="101"/>
      <c r="N1061" s="101"/>
      <c r="O1061" s="101"/>
      <c r="P1061" s="101"/>
      <c r="Q1061" s="101"/>
      <c r="R1061" s="101"/>
      <c r="S1061" s="101"/>
      <c r="T1061" s="101"/>
      <c r="U1061" s="101"/>
    </row>
    <row r="1062" spans="2:21" ht="12.75" customHeight="1">
      <c r="B1062" s="26"/>
      <c r="C1062" s="110"/>
      <c r="D1062" s="214"/>
      <c r="E1062" s="171"/>
      <c r="F1062" s="215"/>
      <c r="H1062" s="292"/>
      <c r="I1062" s="299"/>
      <c r="J1062" s="276"/>
      <c r="K1062" s="101"/>
      <c r="L1062" s="101"/>
      <c r="M1062" s="101"/>
      <c r="N1062" s="101"/>
      <c r="O1062" s="101"/>
      <c r="P1062" s="101"/>
      <c r="Q1062" s="101"/>
      <c r="R1062" s="101"/>
      <c r="S1062" s="101"/>
      <c r="T1062" s="101"/>
      <c r="U1062" s="101"/>
    </row>
    <row r="1063" spans="2:21" ht="12.75" customHeight="1">
      <c r="B1063" s="26"/>
      <c r="C1063" s="110"/>
      <c r="D1063" s="214"/>
      <c r="E1063" s="171"/>
      <c r="F1063" s="215"/>
      <c r="H1063" s="292"/>
      <c r="I1063" s="299"/>
      <c r="J1063" s="276"/>
      <c r="K1063" s="101"/>
      <c r="L1063" s="101"/>
      <c r="M1063" s="101"/>
      <c r="N1063" s="101"/>
      <c r="O1063" s="101"/>
      <c r="P1063" s="101"/>
      <c r="Q1063" s="101"/>
      <c r="R1063" s="101"/>
      <c r="S1063" s="101"/>
      <c r="T1063" s="101"/>
      <c r="U1063" s="101"/>
    </row>
    <row r="1064" spans="2:21" ht="12.75" customHeight="1">
      <c r="B1064" s="26"/>
      <c r="C1064" s="110"/>
      <c r="D1064" s="214"/>
      <c r="E1064" s="171"/>
      <c r="F1064" s="215"/>
      <c r="H1064" s="292"/>
      <c r="I1064" s="299"/>
      <c r="J1064" s="276"/>
      <c r="K1064" s="101"/>
      <c r="L1064" s="101"/>
      <c r="M1064" s="101"/>
      <c r="N1064" s="101"/>
      <c r="O1064" s="101"/>
      <c r="P1064" s="101"/>
      <c r="Q1064" s="101"/>
      <c r="R1064" s="101"/>
      <c r="S1064" s="101"/>
      <c r="T1064" s="101"/>
      <c r="U1064" s="101"/>
    </row>
    <row r="1065" spans="2:21" ht="12.75" customHeight="1">
      <c r="B1065" s="26"/>
      <c r="C1065" s="110"/>
      <c r="D1065" s="214"/>
      <c r="E1065" s="171"/>
      <c r="F1065" s="215"/>
      <c r="H1065" s="292"/>
      <c r="I1065" s="299"/>
      <c r="J1065" s="276"/>
      <c r="K1065" s="101"/>
      <c r="L1065" s="101"/>
      <c r="M1065" s="101"/>
      <c r="N1065" s="101"/>
      <c r="O1065" s="101"/>
      <c r="P1065" s="101"/>
      <c r="Q1065" s="101"/>
      <c r="R1065" s="101"/>
      <c r="S1065" s="101"/>
      <c r="T1065" s="101"/>
      <c r="U1065" s="101"/>
    </row>
    <row r="1066" spans="2:21" ht="12.75" customHeight="1">
      <c r="B1066" s="26"/>
      <c r="C1066" s="110"/>
      <c r="D1066" s="214"/>
      <c r="E1066" s="171"/>
      <c r="F1066" s="215"/>
      <c r="H1066" s="292"/>
      <c r="I1066" s="299"/>
      <c r="J1066" s="276"/>
      <c r="K1066" s="101"/>
      <c r="L1066" s="101"/>
      <c r="M1066" s="101"/>
      <c r="N1066" s="101"/>
      <c r="O1066" s="101"/>
      <c r="P1066" s="101"/>
      <c r="Q1066" s="101"/>
      <c r="R1066" s="101"/>
      <c r="S1066" s="101"/>
      <c r="T1066" s="101"/>
      <c r="U1066" s="101"/>
    </row>
    <row r="1067" spans="2:21" ht="12.75" customHeight="1">
      <c r="B1067" s="26"/>
      <c r="C1067" s="110"/>
      <c r="D1067" s="214"/>
      <c r="E1067" s="171"/>
      <c r="F1067" s="215"/>
      <c r="H1067" s="292"/>
      <c r="I1067" s="299"/>
      <c r="J1067" s="276"/>
      <c r="K1067" s="101"/>
      <c r="L1067" s="101"/>
      <c r="M1067" s="101"/>
      <c r="N1067" s="101"/>
      <c r="O1067" s="101"/>
      <c r="P1067" s="101"/>
      <c r="Q1067" s="101"/>
      <c r="R1067" s="101"/>
      <c r="S1067" s="101"/>
      <c r="T1067" s="101"/>
      <c r="U1067" s="101"/>
    </row>
    <row r="1068" spans="2:21" ht="12.75" customHeight="1">
      <c r="B1068" s="26"/>
      <c r="C1068" s="110"/>
      <c r="D1068" s="214"/>
      <c r="E1068" s="171"/>
      <c r="F1068" s="215"/>
      <c r="H1068" s="292"/>
      <c r="I1068" s="299"/>
      <c r="J1068" s="276"/>
      <c r="K1068" s="101"/>
      <c r="L1068" s="101"/>
      <c r="M1068" s="101"/>
      <c r="N1068" s="101"/>
      <c r="O1068" s="101"/>
      <c r="P1068" s="101"/>
      <c r="Q1068" s="101"/>
      <c r="R1068" s="101"/>
      <c r="S1068" s="101"/>
      <c r="T1068" s="101"/>
      <c r="U1068" s="101"/>
    </row>
    <row r="1069" spans="2:21" ht="12.75" customHeight="1">
      <c r="B1069" s="26"/>
      <c r="C1069" s="110"/>
      <c r="D1069" s="214"/>
      <c r="E1069" s="171"/>
      <c r="F1069" s="215"/>
      <c r="H1069" s="292"/>
      <c r="I1069" s="299"/>
      <c r="J1069" s="276"/>
      <c r="K1069" s="101"/>
      <c r="L1069" s="101"/>
      <c r="M1069" s="101"/>
      <c r="N1069" s="101"/>
      <c r="O1069" s="101"/>
      <c r="P1069" s="101"/>
      <c r="Q1069" s="101"/>
      <c r="R1069" s="101"/>
      <c r="S1069" s="101"/>
      <c r="T1069" s="101"/>
      <c r="U1069" s="101"/>
    </row>
    <row r="1070" spans="2:21" ht="12.75" customHeight="1">
      <c r="B1070" s="26"/>
      <c r="C1070" s="110"/>
      <c r="D1070" s="214"/>
      <c r="E1070" s="171"/>
      <c r="F1070" s="215"/>
      <c r="H1070" s="292"/>
      <c r="I1070" s="299"/>
      <c r="J1070" s="276"/>
      <c r="K1070" s="101"/>
      <c r="L1070" s="101"/>
      <c r="M1070" s="101"/>
      <c r="N1070" s="101"/>
      <c r="O1070" s="101"/>
      <c r="P1070" s="101"/>
      <c r="Q1070" s="101"/>
      <c r="R1070" s="101"/>
      <c r="S1070" s="101"/>
      <c r="T1070" s="101"/>
      <c r="U1070" s="101"/>
    </row>
    <row r="1071" spans="2:21" ht="12.75" customHeight="1">
      <c r="B1071" s="26"/>
      <c r="C1071" s="110"/>
      <c r="D1071" s="214"/>
      <c r="E1071" s="171"/>
      <c r="F1071" s="215"/>
      <c r="H1071" s="292"/>
      <c r="I1071" s="299"/>
      <c r="J1071" s="276"/>
      <c r="K1071" s="101"/>
      <c r="L1071" s="101"/>
      <c r="M1071" s="101"/>
      <c r="N1071" s="101"/>
      <c r="O1071" s="101"/>
      <c r="P1071" s="101"/>
      <c r="Q1071" s="101"/>
      <c r="R1071" s="101"/>
      <c r="S1071" s="101"/>
      <c r="T1071" s="101"/>
      <c r="U1071" s="101"/>
    </row>
    <row r="1072" spans="2:21" ht="12.75" customHeight="1">
      <c r="B1072" s="26"/>
      <c r="C1072" s="110"/>
      <c r="D1072" s="214"/>
      <c r="E1072" s="171"/>
      <c r="F1072" s="215"/>
      <c r="H1072" s="292"/>
      <c r="I1072" s="299"/>
      <c r="J1072" s="276"/>
      <c r="K1072" s="101"/>
      <c r="L1072" s="101"/>
      <c r="M1072" s="101"/>
      <c r="N1072" s="101"/>
      <c r="O1072" s="101"/>
      <c r="P1072" s="101"/>
      <c r="Q1072" s="101"/>
      <c r="R1072" s="101"/>
      <c r="S1072" s="101"/>
      <c r="T1072" s="101"/>
      <c r="U1072" s="101"/>
    </row>
    <row r="1073" spans="1:21" ht="12.75" customHeight="1">
      <c r="B1073" s="26"/>
      <c r="C1073" s="110"/>
      <c r="D1073" s="214"/>
      <c r="E1073" s="171"/>
      <c r="F1073" s="215"/>
      <c r="H1073" s="292"/>
      <c r="I1073" s="299"/>
      <c r="J1073" s="276"/>
      <c r="K1073" s="101"/>
      <c r="L1073" s="101"/>
      <c r="M1073" s="101"/>
      <c r="N1073" s="101"/>
      <c r="O1073" s="101"/>
      <c r="P1073" s="101"/>
      <c r="Q1073" s="101"/>
      <c r="R1073" s="101"/>
      <c r="S1073" s="101"/>
      <c r="T1073" s="101"/>
      <c r="U1073" s="101"/>
    </row>
    <row r="1074" spans="1:21" ht="12.75" customHeight="1">
      <c r="B1074" s="26"/>
      <c r="C1074" s="110"/>
      <c r="D1074" s="214"/>
      <c r="E1074" s="171"/>
      <c r="F1074" s="215"/>
      <c r="H1074" s="292"/>
      <c r="I1074" s="299"/>
      <c r="J1074" s="276"/>
      <c r="K1074" s="101"/>
      <c r="L1074" s="101"/>
      <c r="M1074" s="101"/>
      <c r="N1074" s="101"/>
      <c r="O1074" s="101"/>
      <c r="P1074" s="101"/>
      <c r="Q1074" s="101"/>
      <c r="R1074" s="101"/>
      <c r="S1074" s="101"/>
      <c r="T1074" s="101"/>
      <c r="U1074" s="101"/>
    </row>
    <row r="1075" spans="1:21" ht="12.75" customHeight="1">
      <c r="B1075" s="26"/>
      <c r="C1075" s="110"/>
      <c r="D1075" s="214"/>
      <c r="E1075" s="171"/>
      <c r="F1075" s="215"/>
      <c r="H1075" s="292"/>
      <c r="I1075" s="299"/>
      <c r="J1075" s="276"/>
      <c r="K1075" s="101"/>
      <c r="L1075" s="101"/>
      <c r="M1075" s="101"/>
      <c r="N1075" s="101"/>
      <c r="O1075" s="101"/>
      <c r="P1075" s="101"/>
      <c r="Q1075" s="101"/>
      <c r="R1075" s="101"/>
      <c r="S1075" s="101"/>
      <c r="T1075" s="101"/>
      <c r="U1075" s="101"/>
    </row>
    <row r="1076" spans="1:21" ht="12.75" customHeight="1">
      <c r="B1076" s="26"/>
      <c r="C1076" s="110"/>
      <c r="D1076" s="214"/>
      <c r="E1076" s="171"/>
      <c r="F1076" s="215"/>
      <c r="H1076" s="292"/>
      <c r="I1076" s="299"/>
      <c r="J1076" s="276"/>
      <c r="K1076" s="101"/>
      <c r="L1076" s="101"/>
      <c r="M1076" s="101"/>
      <c r="N1076" s="101"/>
      <c r="O1076" s="101"/>
      <c r="P1076" s="101"/>
      <c r="Q1076" s="101"/>
      <c r="R1076" s="101"/>
      <c r="S1076" s="101"/>
      <c r="T1076" s="101"/>
      <c r="U1076" s="101"/>
    </row>
    <row r="1077" spans="1:21">
      <c r="F1077" s="123"/>
    </row>
    <row r="1078" spans="1:21">
      <c r="F1078" s="123"/>
    </row>
    <row r="1079" spans="1:21">
      <c r="F1079" s="123"/>
    </row>
    <row r="1080" spans="1:21">
      <c r="F1080" s="123"/>
    </row>
    <row r="1081" spans="1:21">
      <c r="F1081" s="123"/>
    </row>
    <row r="1082" spans="1:21">
      <c r="A1082" s="55"/>
      <c r="B1082" s="22" t="s">
        <v>15</v>
      </c>
      <c r="C1082" s="305"/>
      <c r="D1082" s="305"/>
      <c r="E1082" s="305"/>
      <c r="F1082" s="306"/>
    </row>
    <row r="1083" spans="1:21">
      <c r="A1083" s="97"/>
      <c r="B1083" s="18"/>
      <c r="F1083" s="123"/>
    </row>
    <row r="1084" spans="1:21">
      <c r="A1084" s="97" t="s">
        <v>6</v>
      </c>
      <c r="B1084" s="23" t="s">
        <v>35</v>
      </c>
      <c r="C1084" s="216"/>
      <c r="D1084" s="217"/>
      <c r="E1084" s="218"/>
      <c r="F1084" s="219"/>
    </row>
    <row r="1085" spans="1:21">
      <c r="A1085" s="97"/>
      <c r="B1085" s="18"/>
      <c r="E1085" s="220" t="s">
        <v>445</v>
      </c>
      <c r="F1085" s="123">
        <f>SUM(F270)</f>
        <v>0</v>
      </c>
    </row>
    <row r="1086" spans="1:21">
      <c r="A1086" s="97" t="s">
        <v>7</v>
      </c>
      <c r="B1086" s="23" t="s">
        <v>23</v>
      </c>
      <c r="C1086" s="216"/>
      <c r="D1086" s="221"/>
      <c r="E1086" s="218"/>
      <c r="F1086" s="219"/>
    </row>
    <row r="1087" spans="1:21">
      <c r="A1087" s="97"/>
      <c r="B1087" s="18"/>
      <c r="E1087" s="220" t="s">
        <v>445</v>
      </c>
      <c r="F1087" s="123">
        <f>SUM(F303)</f>
        <v>0</v>
      </c>
    </row>
    <row r="1088" spans="1:21">
      <c r="A1088" s="97" t="s">
        <v>10</v>
      </c>
      <c r="B1088" s="23" t="s">
        <v>229</v>
      </c>
      <c r="C1088" s="216"/>
      <c r="D1088" s="221"/>
      <c r="E1088" s="218"/>
      <c r="F1088" s="219"/>
    </row>
    <row r="1089" spans="1:12">
      <c r="A1089" s="97"/>
      <c r="B1089" s="18"/>
      <c r="E1089" s="220" t="s">
        <v>445</v>
      </c>
      <c r="F1089" s="123">
        <f>SUM(F375)</f>
        <v>0</v>
      </c>
    </row>
    <row r="1090" spans="1:12">
      <c r="A1090" s="97" t="s">
        <v>12</v>
      </c>
      <c r="B1090" s="23" t="s">
        <v>11</v>
      </c>
      <c r="C1090" s="216"/>
      <c r="D1090" s="221"/>
      <c r="E1090" s="218"/>
      <c r="F1090" s="219"/>
    </row>
    <row r="1091" spans="1:12">
      <c r="A1091" s="97"/>
      <c r="B1091" s="18"/>
      <c r="D1091" s="222"/>
      <c r="E1091" s="220" t="s">
        <v>445</v>
      </c>
      <c r="F1091" s="123">
        <f>SUM(F531)</f>
        <v>0</v>
      </c>
    </row>
    <row r="1092" spans="1:12">
      <c r="A1092" s="97" t="s">
        <v>20</v>
      </c>
      <c r="B1092" s="23" t="s">
        <v>33</v>
      </c>
      <c r="C1092" s="216"/>
      <c r="D1092" s="221"/>
      <c r="E1092" s="218"/>
      <c r="F1092" s="219"/>
    </row>
    <row r="1093" spans="1:12">
      <c r="A1093" s="97"/>
      <c r="B1093" s="18"/>
      <c r="E1093" s="220" t="s">
        <v>445</v>
      </c>
      <c r="F1093" s="123">
        <f>SUM(F801)</f>
        <v>0</v>
      </c>
    </row>
    <row r="1094" spans="1:12">
      <c r="A1094" s="97" t="s">
        <v>13</v>
      </c>
      <c r="B1094" s="23" t="s">
        <v>46</v>
      </c>
      <c r="C1094" s="216"/>
      <c r="D1094" s="221"/>
      <c r="E1094" s="218"/>
      <c r="F1094" s="219"/>
    </row>
    <row r="1095" spans="1:12">
      <c r="B1095" s="16"/>
      <c r="E1095" s="220" t="s">
        <v>445</v>
      </c>
      <c r="F1095" s="123">
        <f>SUM(F895)</f>
        <v>0</v>
      </c>
    </row>
    <row r="1096" spans="1:12">
      <c r="A1096" s="97" t="s">
        <v>76</v>
      </c>
      <c r="B1096" s="23" t="s">
        <v>48</v>
      </c>
      <c r="C1096" s="216"/>
      <c r="D1096" s="221"/>
      <c r="E1096" s="218"/>
      <c r="F1096" s="219"/>
    </row>
    <row r="1097" spans="1:12">
      <c r="A1097" s="97"/>
      <c r="B1097" s="27"/>
      <c r="C1097" s="223"/>
      <c r="D1097" s="224"/>
      <c r="E1097" s="220" t="s">
        <v>445</v>
      </c>
      <c r="F1097" s="123">
        <f>SUM(F924)</f>
        <v>0</v>
      </c>
    </row>
    <row r="1098" spans="1:12">
      <c r="A1098" s="97" t="s">
        <v>246</v>
      </c>
      <c r="B1098" s="28" t="s">
        <v>77</v>
      </c>
      <c r="C1098" s="216"/>
      <c r="D1098" s="221"/>
      <c r="E1098" s="218"/>
      <c r="F1098" s="219"/>
      <c r="L1098" s="9"/>
    </row>
    <row r="1099" spans="1:12">
      <c r="A1099" s="97"/>
      <c r="B1099" s="56"/>
      <c r="D1099" s="224"/>
      <c r="E1099" s="220" t="s">
        <v>445</v>
      </c>
      <c r="F1099" s="123">
        <f>SUM(F954)</f>
        <v>0</v>
      </c>
      <c r="L1099" s="9"/>
    </row>
    <row r="1100" spans="1:12">
      <c r="A1100" s="97" t="s">
        <v>247</v>
      </c>
      <c r="B1100" s="28" t="s">
        <v>249</v>
      </c>
      <c r="C1100" s="216"/>
      <c r="D1100" s="221"/>
      <c r="E1100" s="218"/>
      <c r="F1100" s="219"/>
      <c r="L1100" s="9"/>
    </row>
    <row r="1101" spans="1:12">
      <c r="A1101" s="97"/>
      <c r="B1101" s="56"/>
      <c r="D1101" s="224"/>
      <c r="E1101" s="220" t="s">
        <v>445</v>
      </c>
      <c r="F1101" s="123">
        <f>SUM(F976)</f>
        <v>0</v>
      </c>
      <c r="L1101" s="9"/>
    </row>
    <row r="1102" spans="1:12">
      <c r="A1102" s="97" t="s">
        <v>257</v>
      </c>
      <c r="B1102" s="28" t="s">
        <v>251</v>
      </c>
      <c r="C1102" s="216"/>
      <c r="D1102" s="221"/>
      <c r="E1102" s="218"/>
      <c r="F1102" s="219"/>
      <c r="L1102" s="9"/>
    </row>
    <row r="1103" spans="1:12">
      <c r="A1103" s="97"/>
      <c r="B1103" s="56"/>
      <c r="D1103" s="224"/>
      <c r="E1103" s="220" t="s">
        <v>445</v>
      </c>
      <c r="F1103" s="123">
        <f>SUM(F1006)</f>
        <v>0</v>
      </c>
      <c r="L1103" s="9"/>
    </row>
    <row r="1104" spans="1:12">
      <c r="A1104" s="97" t="s">
        <v>399</v>
      </c>
      <c r="B1104" s="28" t="s">
        <v>400</v>
      </c>
      <c r="C1104" s="216"/>
      <c r="D1104" s="221"/>
      <c r="E1104" s="218"/>
      <c r="F1104" s="219"/>
      <c r="L1104" s="9"/>
    </row>
    <row r="1105" spans="2:7" ht="13.5" thickBot="1">
      <c r="B1105" s="29"/>
      <c r="C1105" s="225"/>
      <c r="D1105" s="226"/>
      <c r="E1105" s="227" t="s">
        <v>445</v>
      </c>
      <c r="F1105" s="228">
        <f>SUM(F1052)</f>
        <v>0</v>
      </c>
    </row>
    <row r="1106" spans="2:7">
      <c r="B1106" s="16"/>
      <c r="F1106" s="123"/>
    </row>
    <row r="1107" spans="2:7">
      <c r="B1107" s="23" t="s">
        <v>16</v>
      </c>
      <c r="C1107" s="216"/>
      <c r="D1107" s="217"/>
      <c r="E1107" s="218"/>
      <c r="F1107" s="229"/>
    </row>
    <row r="1108" spans="2:7">
      <c r="E1108" s="220" t="s">
        <v>445</v>
      </c>
      <c r="F1108" s="123">
        <f>SUM(F1085:F1105)</f>
        <v>0</v>
      </c>
      <c r="G1108" s="283">
        <f>F1085+F1087+F1089+F1091+F1093+F1095+F1097+F1099+F1101+F1103+F1105</f>
        <v>0</v>
      </c>
    </row>
    <row r="1109" spans="2:7">
      <c r="B1109" s="23" t="s">
        <v>27</v>
      </c>
      <c r="C1109" s="230"/>
      <c r="D1109" s="231"/>
      <c r="E1109" s="232"/>
      <c r="F1109" s="229"/>
    </row>
    <row r="1110" spans="2:7">
      <c r="E1110" s="220" t="s">
        <v>445</v>
      </c>
      <c r="F1110" s="123">
        <f>SUM(F1108*0.25)</f>
        <v>0</v>
      </c>
    </row>
    <row r="1111" spans="2:7">
      <c r="B1111" s="23" t="s">
        <v>17</v>
      </c>
      <c r="C1111" s="230"/>
      <c r="D1111" s="231"/>
      <c r="E1111" s="232"/>
      <c r="F1111" s="229"/>
    </row>
    <row r="1112" spans="2:7">
      <c r="B1112" s="16"/>
      <c r="E1112" s="220" t="s">
        <v>445</v>
      </c>
      <c r="F1112" s="123">
        <f>SUM(F1108:F1110)</f>
        <v>0</v>
      </c>
      <c r="G1112" s="279">
        <f>F1111/7.534</f>
        <v>0</v>
      </c>
    </row>
    <row r="1113" spans="2:7">
      <c r="B1113" s="16"/>
      <c r="F1113" s="123"/>
    </row>
    <row r="1114" spans="2:7">
      <c r="B1114" s="16"/>
      <c r="F1114" s="123"/>
    </row>
    <row r="1115" spans="2:7">
      <c r="B1115" s="16"/>
      <c r="F1115" s="123"/>
    </row>
    <row r="1116" spans="2:7">
      <c r="B1116" s="16"/>
      <c r="F1116" s="123"/>
    </row>
    <row r="1117" spans="2:7">
      <c r="B1117" s="16"/>
      <c r="F1117" s="123"/>
    </row>
    <row r="1118" spans="2:7">
      <c r="B1118" s="16"/>
      <c r="F1118" s="123"/>
    </row>
    <row r="1119" spans="2:7">
      <c r="B1119" s="16"/>
      <c r="F1119" s="123"/>
    </row>
    <row r="1120" spans="2:7">
      <c r="B1120" s="16"/>
      <c r="F1120" s="123"/>
    </row>
    <row r="1121" spans="1:12">
      <c r="B1121" s="16"/>
      <c r="F1121" s="123"/>
    </row>
    <row r="1122" spans="1:12">
      <c r="B1122" s="16"/>
      <c r="F1122" s="123"/>
    </row>
    <row r="1123" spans="1:12">
      <c r="B1123" s="16"/>
      <c r="F1123" s="123"/>
    </row>
    <row r="1124" spans="1:12">
      <c r="B1124" s="16"/>
      <c r="F1124" s="123"/>
      <c r="J1124" s="277"/>
    </row>
    <row r="1125" spans="1:12">
      <c r="J1125" s="278"/>
      <c r="K1125" s="4"/>
      <c r="L1125" s="4"/>
    </row>
    <row r="1126" spans="1:12">
      <c r="J1126" s="278"/>
      <c r="K1126" s="9"/>
      <c r="L1126" s="4"/>
    </row>
    <row r="1127" spans="1:12">
      <c r="J1127" s="277"/>
    </row>
    <row r="1128" spans="1:12">
      <c r="J1128" s="277"/>
    </row>
    <row r="1129" spans="1:12">
      <c r="J1129" s="277"/>
    </row>
    <row r="1130" spans="1:12">
      <c r="J1130" s="277"/>
    </row>
    <row r="1132" spans="1:12">
      <c r="A1132" s="97"/>
      <c r="D1132" s="145"/>
      <c r="E1132" s="143"/>
      <c r="F1132" s="209"/>
    </row>
    <row r="1133" spans="1:12">
      <c r="B1133" s="16"/>
      <c r="F1133" s="123"/>
    </row>
    <row r="1134" spans="1:12">
      <c r="B1134" s="16"/>
      <c r="F1134" s="123"/>
    </row>
    <row r="1135" spans="1:12">
      <c r="B1135" s="16"/>
      <c r="F1135" s="123"/>
    </row>
    <row r="1136" spans="1:12">
      <c r="B1136" s="16"/>
      <c r="F1136" s="123"/>
    </row>
    <row r="1137" spans="1:6">
      <c r="B1137" s="16"/>
      <c r="F1137" s="123"/>
    </row>
    <row r="1138" spans="1:6">
      <c r="B1138" s="16"/>
      <c r="F1138" s="123"/>
    </row>
    <row r="1139" spans="1:6">
      <c r="B1139" s="16"/>
      <c r="F1139" s="123"/>
    </row>
    <row r="1140" spans="1:6">
      <c r="B1140" s="16"/>
      <c r="F1140" s="123"/>
    </row>
    <row r="1141" spans="1:6">
      <c r="F1141" s="123"/>
    </row>
    <row r="1142" spans="1:6">
      <c r="B1142" s="16"/>
      <c r="F1142" s="123"/>
    </row>
    <row r="1143" spans="1:6">
      <c r="B1143" s="18"/>
      <c r="C1143" s="307"/>
      <c r="D1143" s="307"/>
      <c r="E1143" s="307"/>
      <c r="F1143" s="307"/>
    </row>
    <row r="1144" spans="1:6">
      <c r="A1144" s="97"/>
      <c r="B1144" s="18"/>
      <c r="F1144" s="123"/>
    </row>
    <row r="1145" spans="1:6">
      <c r="A1145" s="97"/>
      <c r="B1145" s="18"/>
      <c r="F1145" s="123"/>
    </row>
    <row r="1146" spans="1:6">
      <c r="A1146" s="97"/>
      <c r="B1146" s="18"/>
      <c r="F1146" s="123"/>
    </row>
    <row r="1147" spans="1:6">
      <c r="A1147" s="97"/>
      <c r="B1147" s="18"/>
      <c r="D1147" s="222"/>
      <c r="F1147" s="123"/>
    </row>
    <row r="1148" spans="1:6">
      <c r="A1148" s="97"/>
      <c r="B1148" s="18"/>
      <c r="F1148" s="123"/>
    </row>
    <row r="1149" spans="1:6">
      <c r="A1149" s="97"/>
      <c r="B1149" s="18"/>
      <c r="F1149" s="123"/>
    </row>
    <row r="1150" spans="1:6">
      <c r="A1150" s="97"/>
      <c r="B1150" s="18"/>
      <c r="D1150" s="222"/>
      <c r="F1150" s="123"/>
    </row>
    <row r="1151" spans="1:6">
      <c r="A1151" s="97"/>
      <c r="B1151" s="18"/>
      <c r="D1151" s="222"/>
      <c r="F1151" s="123"/>
    </row>
    <row r="1152" spans="1:6">
      <c r="A1152" s="97"/>
      <c r="B1152" s="18"/>
      <c r="F1152" s="123"/>
    </row>
    <row r="1153" spans="1:6">
      <c r="A1153" s="97"/>
      <c r="B1153" s="18"/>
      <c r="F1153" s="123"/>
    </row>
    <row r="1154" spans="1:6">
      <c r="A1154" s="97"/>
      <c r="B1154" s="18"/>
      <c r="F1154" s="123"/>
    </row>
    <row r="1155" spans="1:6">
      <c r="A1155" s="97"/>
      <c r="B1155" s="18"/>
      <c r="F1155" s="123"/>
    </row>
    <row r="1156" spans="1:6">
      <c r="B1156" s="16"/>
      <c r="F1156" s="123"/>
    </row>
    <row r="1157" spans="1:6">
      <c r="B1157" s="16"/>
      <c r="F1157" s="123"/>
    </row>
    <row r="1158" spans="1:6">
      <c r="B1158" s="18"/>
      <c r="F1158" s="123"/>
    </row>
    <row r="1159" spans="1:6">
      <c r="F1159" s="123"/>
    </row>
    <row r="1160" spans="1:6">
      <c r="B1160" s="18"/>
      <c r="C1160" s="103"/>
      <c r="D1160" s="233"/>
      <c r="E1160" s="140"/>
      <c r="F1160" s="123"/>
    </row>
    <row r="1161" spans="1:6">
      <c r="F1161" s="123"/>
    </row>
    <row r="1162" spans="1:6">
      <c r="B1162" s="18"/>
      <c r="C1162" s="103"/>
      <c r="D1162" s="233"/>
      <c r="E1162" s="140"/>
      <c r="F1162" s="123"/>
    </row>
    <row r="1163" spans="1:6">
      <c r="B1163" s="16"/>
      <c r="F1163" s="123"/>
    </row>
    <row r="1164" spans="1:6">
      <c r="B1164" s="16"/>
      <c r="F1164" s="123"/>
    </row>
    <row r="1165" spans="1:6">
      <c r="B1165" s="16"/>
      <c r="F1165" s="123"/>
    </row>
    <row r="1166" spans="1:6">
      <c r="B1166" s="16"/>
      <c r="F1166" s="123"/>
    </row>
  </sheetData>
  <mergeCells count="3">
    <mergeCell ref="B270:C270"/>
    <mergeCell ref="C1082:F1082"/>
    <mergeCell ref="C1143:F1143"/>
  </mergeCells>
  <pageMargins left="0.74803149606299202" right="0.74803149606299202"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9"/>
  <sheetViews>
    <sheetView view="pageBreakPreview" topLeftCell="A145" zoomScale="115" zoomScaleNormal="100" zoomScaleSheetLayoutView="115" workbookViewId="0">
      <selection activeCell="F144" sqref="F144"/>
    </sheetView>
  </sheetViews>
  <sheetFormatPr defaultColWidth="9.140625" defaultRowHeight="12.75"/>
  <cols>
    <col min="1" max="1" width="7" style="115" customWidth="1"/>
    <col min="2" max="2" width="40.85546875" style="63" customWidth="1"/>
    <col min="3" max="3" width="8" style="60" customWidth="1"/>
    <col min="4" max="4" width="9.140625" style="61"/>
    <col min="5" max="5" width="10.7109375" style="60" customWidth="1"/>
    <col min="6" max="6" width="11.85546875" style="93" customWidth="1"/>
    <col min="7" max="13" width="0" style="63" hidden="1" customWidth="1"/>
    <col min="14" max="16384" width="9.140625" style="63"/>
  </cols>
  <sheetData>
    <row r="3" spans="1:8">
      <c r="A3" s="111"/>
      <c r="B3" s="59"/>
      <c r="E3" s="61"/>
      <c r="F3" s="62"/>
    </row>
    <row r="4" spans="1:8">
      <c r="A4" s="111"/>
      <c r="B4" s="59"/>
      <c r="E4" s="61"/>
      <c r="F4" s="62"/>
    </row>
    <row r="5" spans="1:8">
      <c r="A5" s="111"/>
      <c r="B5" s="64"/>
      <c r="E5" s="61"/>
      <c r="F5" s="62"/>
    </row>
    <row r="6" spans="1:8">
      <c r="A6" s="111"/>
      <c r="B6" s="65"/>
      <c r="C6" s="308"/>
      <c r="D6" s="308"/>
      <c r="E6" s="308"/>
      <c r="F6" s="308"/>
    </row>
    <row r="7" spans="1:8">
      <c r="A7" s="111"/>
      <c r="B7" s="64" t="s">
        <v>565</v>
      </c>
      <c r="E7" s="61"/>
      <c r="F7" s="62"/>
    </row>
    <row r="8" spans="1:8">
      <c r="A8" s="111"/>
      <c r="E8" s="61"/>
      <c r="F8" s="62"/>
    </row>
    <row r="9" spans="1:8">
      <c r="A9" s="111"/>
      <c r="B9" s="59"/>
      <c r="E9" s="61"/>
      <c r="F9" s="62"/>
      <c r="H9" s="66"/>
    </row>
    <row r="10" spans="1:8" ht="25.5">
      <c r="A10" s="112" t="s">
        <v>6</v>
      </c>
      <c r="B10" s="67" t="s">
        <v>474</v>
      </c>
      <c r="C10" s="68" t="s">
        <v>32</v>
      </c>
      <c r="D10" s="69" t="s">
        <v>0</v>
      </c>
      <c r="E10" s="69" t="s">
        <v>31</v>
      </c>
      <c r="F10" s="70" t="s">
        <v>1</v>
      </c>
      <c r="H10" s="66"/>
    </row>
    <row r="11" spans="1:8">
      <c r="A11" s="113"/>
      <c r="B11" s="71"/>
      <c r="E11" s="61"/>
      <c r="F11" s="62"/>
      <c r="H11" s="66"/>
    </row>
    <row r="12" spans="1:8" ht="38.25">
      <c r="A12" s="111" t="s">
        <v>2</v>
      </c>
      <c r="B12" s="72" t="s">
        <v>258</v>
      </c>
      <c r="E12" s="61"/>
      <c r="F12" s="62"/>
    </row>
    <row r="13" spans="1:8">
      <c r="A13" s="111"/>
      <c r="B13" s="73" t="s">
        <v>259</v>
      </c>
      <c r="C13" s="60" t="s">
        <v>260</v>
      </c>
      <c r="D13" s="61">
        <v>50</v>
      </c>
      <c r="E13" s="61"/>
      <c r="F13" s="62">
        <f>SUM(D13*E13)</f>
        <v>0</v>
      </c>
    </row>
    <row r="14" spans="1:8">
      <c r="A14" s="111"/>
      <c r="B14" s="73" t="s">
        <v>261</v>
      </c>
      <c r="C14" s="60" t="s">
        <v>260</v>
      </c>
      <c r="D14" s="61">
        <v>50</v>
      </c>
      <c r="E14" s="61"/>
      <c r="F14" s="62">
        <f>SUM(D14*E14)</f>
        <v>0</v>
      </c>
    </row>
    <row r="15" spans="1:8">
      <c r="A15" s="111"/>
      <c r="B15" s="73"/>
      <c r="E15" s="61"/>
      <c r="F15" s="62"/>
    </row>
    <row r="16" spans="1:8" ht="25.5">
      <c r="A16" s="111" t="s">
        <v>3</v>
      </c>
      <c r="B16" s="73" t="s">
        <v>463</v>
      </c>
      <c r="E16" s="61"/>
      <c r="F16" s="62"/>
    </row>
    <row r="17" spans="1:6">
      <c r="A17" s="111"/>
      <c r="B17" s="131" t="s">
        <v>464</v>
      </c>
      <c r="D17" s="63"/>
      <c r="E17" s="63"/>
      <c r="F17" s="63"/>
    </row>
    <row r="18" spans="1:6" ht="25.5">
      <c r="A18" s="111" t="s">
        <v>126</v>
      </c>
      <c r="B18" s="73" t="s">
        <v>465</v>
      </c>
      <c r="C18" s="60" t="s">
        <v>260</v>
      </c>
      <c r="D18" s="61">
        <v>10</v>
      </c>
      <c r="E18" s="61"/>
      <c r="F18" s="62">
        <f t="shared" ref="F18:F20" si="0">SUM(D18*E18)</f>
        <v>0</v>
      </c>
    </row>
    <row r="19" spans="1:6" ht="25.5">
      <c r="A19" s="111" t="s">
        <v>127</v>
      </c>
      <c r="B19" s="73" t="s">
        <v>466</v>
      </c>
      <c r="C19" s="60" t="s">
        <v>260</v>
      </c>
      <c r="D19" s="61">
        <v>20</v>
      </c>
      <c r="E19" s="61"/>
      <c r="F19" s="62">
        <f t="shared" si="0"/>
        <v>0</v>
      </c>
    </row>
    <row r="20" spans="1:6" ht="25.5">
      <c r="A20" s="111" t="s">
        <v>128</v>
      </c>
      <c r="B20" s="73" t="s">
        <v>467</v>
      </c>
      <c r="C20" s="60" t="s">
        <v>190</v>
      </c>
      <c r="D20" s="61">
        <v>35</v>
      </c>
      <c r="E20" s="61"/>
      <c r="F20" s="62">
        <f t="shared" si="0"/>
        <v>0</v>
      </c>
    </row>
    <row r="21" spans="1:6">
      <c r="A21" s="111"/>
      <c r="B21" s="73"/>
      <c r="E21" s="61"/>
      <c r="F21" s="62"/>
    </row>
    <row r="22" spans="1:6" ht="25.5">
      <c r="A22" s="111" t="s">
        <v>4</v>
      </c>
      <c r="B22" s="73" t="s">
        <v>463</v>
      </c>
      <c r="E22" s="61"/>
      <c r="F22" s="62"/>
    </row>
    <row r="23" spans="1:6" ht="25.5">
      <c r="A23" s="111"/>
      <c r="B23" s="131" t="s">
        <v>471</v>
      </c>
      <c r="E23" s="61"/>
      <c r="F23" s="62"/>
    </row>
    <row r="24" spans="1:6" ht="25.5">
      <c r="A24" s="111" t="s">
        <v>139</v>
      </c>
      <c r="B24" s="73" t="s">
        <v>468</v>
      </c>
      <c r="C24" s="60" t="s">
        <v>260</v>
      </c>
      <c r="D24" s="61">
        <v>40</v>
      </c>
      <c r="E24" s="61"/>
      <c r="F24" s="62">
        <f t="shared" ref="F24:F26" si="1">SUM(D24*E24)</f>
        <v>0</v>
      </c>
    </row>
    <row r="25" spans="1:6" ht="25.5">
      <c r="A25" s="111" t="s">
        <v>140</v>
      </c>
      <c r="B25" s="73" t="s">
        <v>469</v>
      </c>
      <c r="C25" s="60" t="s">
        <v>260</v>
      </c>
      <c r="D25" s="61">
        <v>80</v>
      </c>
      <c r="E25" s="61"/>
      <c r="F25" s="62">
        <f t="shared" si="1"/>
        <v>0</v>
      </c>
    </row>
    <row r="26" spans="1:6" ht="25.5">
      <c r="A26" s="111" t="s">
        <v>141</v>
      </c>
      <c r="B26" s="73" t="s">
        <v>470</v>
      </c>
      <c r="C26" s="60" t="s">
        <v>190</v>
      </c>
      <c r="D26" s="61">
        <v>120</v>
      </c>
      <c r="E26" s="61"/>
      <c r="F26" s="62">
        <f t="shared" si="1"/>
        <v>0</v>
      </c>
    </row>
    <row r="27" spans="1:6">
      <c r="A27" s="111"/>
      <c r="B27" s="73"/>
      <c r="E27" s="61"/>
      <c r="F27" s="62"/>
    </row>
    <row r="28" spans="1:6">
      <c r="A28" s="111"/>
      <c r="B28" s="73"/>
      <c r="E28" s="61"/>
      <c r="F28" s="62"/>
    </row>
    <row r="29" spans="1:6">
      <c r="A29" s="111"/>
      <c r="B29" s="73"/>
      <c r="E29" s="61"/>
      <c r="F29" s="62"/>
    </row>
    <row r="30" spans="1:6" ht="25.5">
      <c r="A30" s="114"/>
      <c r="B30" s="74" t="s">
        <v>462</v>
      </c>
      <c r="C30" s="75"/>
      <c r="D30" s="76"/>
      <c r="E30" s="76"/>
      <c r="F30" s="77">
        <f>SUM(F13:F26)</f>
        <v>0</v>
      </c>
    </row>
    <row r="31" spans="1:6">
      <c r="A31" s="111"/>
      <c r="B31" s="73"/>
      <c r="E31" s="61"/>
      <c r="F31" s="62"/>
    </row>
    <row r="32" spans="1:6">
      <c r="A32" s="111"/>
      <c r="B32" s="73"/>
      <c r="E32" s="61"/>
      <c r="F32" s="62"/>
    </row>
    <row r="33" spans="1:6">
      <c r="A33" s="111"/>
      <c r="B33" s="73"/>
      <c r="E33" s="61"/>
      <c r="F33" s="62"/>
    </row>
    <row r="44" spans="1:6" ht="13.5" customHeight="1">
      <c r="A44" s="112" t="s">
        <v>7</v>
      </c>
      <c r="B44" s="78" t="s">
        <v>475</v>
      </c>
      <c r="C44" s="68" t="s">
        <v>32</v>
      </c>
      <c r="D44" s="69" t="s">
        <v>0</v>
      </c>
      <c r="E44" s="69" t="s">
        <v>31</v>
      </c>
      <c r="F44" s="70" t="s">
        <v>1</v>
      </c>
    </row>
    <row r="45" spans="1:6" ht="13.5" customHeight="1">
      <c r="A45" s="113"/>
      <c r="B45" s="64"/>
      <c r="E45" s="61"/>
      <c r="F45" s="62"/>
    </row>
    <row r="46" spans="1:6" ht="58.5" customHeight="1">
      <c r="A46" s="111" t="s">
        <v>2</v>
      </c>
      <c r="B46" s="72" t="s">
        <v>472</v>
      </c>
      <c r="E46" s="61"/>
      <c r="F46" s="62"/>
    </row>
    <row r="47" spans="1:6" ht="14.25">
      <c r="A47" s="111" t="s">
        <v>114</v>
      </c>
      <c r="B47" s="73" t="s">
        <v>473</v>
      </c>
      <c r="C47" s="60" t="s">
        <v>64</v>
      </c>
      <c r="D47" s="61">
        <v>100</v>
      </c>
      <c r="E47" s="61"/>
      <c r="F47" s="62">
        <f>SUM(D47*E47)</f>
        <v>0</v>
      </c>
    </row>
    <row r="48" spans="1:6">
      <c r="A48" s="111"/>
      <c r="B48" s="73"/>
      <c r="E48" s="61"/>
      <c r="F48" s="62"/>
    </row>
    <row r="49" spans="1:6">
      <c r="A49" s="114"/>
      <c r="B49" s="74" t="s">
        <v>476</v>
      </c>
      <c r="C49" s="79"/>
      <c r="D49" s="76"/>
      <c r="E49" s="76"/>
      <c r="F49" s="77">
        <f>SUM(F47)</f>
        <v>0</v>
      </c>
    </row>
    <row r="50" spans="1:6">
      <c r="A50" s="111"/>
      <c r="B50" s="71"/>
      <c r="E50" s="61"/>
      <c r="F50" s="62"/>
    </row>
    <row r="51" spans="1:6">
      <c r="A51" s="111"/>
      <c r="B51" s="71"/>
      <c r="E51" s="61"/>
      <c r="F51" s="62"/>
    </row>
    <row r="52" spans="1:6">
      <c r="A52" s="111"/>
      <c r="B52" s="71"/>
      <c r="E52" s="61"/>
      <c r="F52" s="62"/>
    </row>
    <row r="53" spans="1:6">
      <c r="A53" s="111"/>
      <c r="B53" s="71"/>
      <c r="E53" s="61"/>
      <c r="F53" s="62"/>
    </row>
    <row r="54" spans="1:6">
      <c r="A54" s="111"/>
      <c r="B54" s="71"/>
      <c r="E54" s="61"/>
      <c r="F54" s="62"/>
    </row>
    <row r="55" spans="1:6">
      <c r="A55" s="111"/>
      <c r="B55" s="71"/>
      <c r="E55" s="61"/>
      <c r="F55" s="62"/>
    </row>
    <row r="56" spans="1:6">
      <c r="A56" s="111"/>
      <c r="B56" s="71"/>
      <c r="E56" s="61"/>
      <c r="F56" s="62"/>
    </row>
    <row r="57" spans="1:6">
      <c r="A57" s="111"/>
      <c r="B57" s="71"/>
      <c r="E57" s="61"/>
      <c r="F57" s="62"/>
    </row>
    <row r="58" spans="1:6">
      <c r="A58" s="111"/>
      <c r="B58" s="71"/>
      <c r="E58" s="61"/>
      <c r="F58" s="62"/>
    </row>
    <row r="59" spans="1:6">
      <c r="A59" s="111"/>
      <c r="B59" s="71"/>
      <c r="E59" s="61"/>
      <c r="F59" s="62"/>
    </row>
    <row r="60" spans="1:6">
      <c r="A60" s="111"/>
      <c r="B60" s="71"/>
      <c r="E60" s="61"/>
      <c r="F60" s="62"/>
    </row>
    <row r="61" spans="1:6">
      <c r="A61" s="111"/>
      <c r="B61" s="71"/>
      <c r="E61" s="61"/>
      <c r="F61" s="62"/>
    </row>
    <row r="62" spans="1:6">
      <c r="A62" s="111"/>
      <c r="B62" s="71"/>
      <c r="E62" s="61"/>
      <c r="F62" s="62"/>
    </row>
    <row r="63" spans="1:6">
      <c r="A63" s="111"/>
      <c r="B63" s="71"/>
      <c r="E63" s="61"/>
      <c r="F63" s="62"/>
    </row>
    <row r="64" spans="1:6">
      <c r="A64" s="111"/>
      <c r="B64" s="71"/>
      <c r="E64" s="61"/>
      <c r="F64" s="62"/>
    </row>
    <row r="65" spans="1:6">
      <c r="A65" s="111"/>
      <c r="B65" s="71"/>
      <c r="E65" s="61"/>
      <c r="F65" s="62"/>
    </row>
    <row r="66" spans="1:6">
      <c r="A66" s="111"/>
      <c r="B66" s="71"/>
      <c r="E66" s="61"/>
      <c r="F66" s="62"/>
    </row>
    <row r="67" spans="1:6">
      <c r="A67" s="111"/>
      <c r="B67" s="71"/>
      <c r="E67" s="61"/>
      <c r="F67" s="62"/>
    </row>
    <row r="68" spans="1:6">
      <c r="A68" s="111"/>
      <c r="B68" s="71"/>
      <c r="E68" s="61"/>
      <c r="F68" s="62"/>
    </row>
    <row r="69" spans="1:6">
      <c r="A69" s="111"/>
      <c r="B69" s="71"/>
      <c r="E69" s="61"/>
      <c r="F69" s="62"/>
    </row>
    <row r="70" spans="1:6">
      <c r="A70" s="111"/>
      <c r="B70" s="71"/>
      <c r="E70" s="61"/>
      <c r="F70" s="62"/>
    </row>
    <row r="71" spans="1:6">
      <c r="A71" s="111"/>
      <c r="B71" s="71"/>
      <c r="E71" s="61"/>
      <c r="F71" s="62"/>
    </row>
    <row r="72" spans="1:6">
      <c r="A72" s="111"/>
      <c r="B72" s="71"/>
      <c r="E72" s="61"/>
      <c r="F72" s="62"/>
    </row>
    <row r="73" spans="1:6">
      <c r="A73" s="111"/>
      <c r="B73" s="71"/>
      <c r="E73" s="61"/>
      <c r="F73" s="62"/>
    </row>
    <row r="74" spans="1:6">
      <c r="A74" s="111"/>
      <c r="B74" s="71"/>
      <c r="E74" s="61"/>
      <c r="F74" s="62"/>
    </row>
    <row r="75" spans="1:6">
      <c r="A75" s="111"/>
      <c r="B75" s="71"/>
      <c r="E75" s="61"/>
      <c r="F75" s="62"/>
    </row>
    <row r="76" spans="1:6">
      <c r="A76" s="111"/>
      <c r="B76" s="71"/>
      <c r="E76" s="61"/>
      <c r="F76" s="62"/>
    </row>
    <row r="77" spans="1:6">
      <c r="A77" s="111"/>
      <c r="B77" s="71"/>
      <c r="E77" s="61"/>
      <c r="F77" s="62"/>
    </row>
    <row r="78" spans="1:6">
      <c r="A78" s="111"/>
      <c r="B78" s="71"/>
      <c r="E78" s="61"/>
      <c r="F78" s="62"/>
    </row>
    <row r="79" spans="1:6">
      <c r="A79" s="111"/>
      <c r="B79" s="71"/>
      <c r="E79" s="61"/>
      <c r="F79" s="62"/>
    </row>
    <row r="80" spans="1:6">
      <c r="A80" s="111"/>
      <c r="B80" s="71"/>
      <c r="E80" s="61"/>
      <c r="F80" s="62"/>
    </row>
    <row r="81" spans="1:9">
      <c r="A81" s="111"/>
      <c r="B81" s="71"/>
      <c r="E81" s="61"/>
      <c r="F81" s="62"/>
    </row>
    <row r="82" spans="1:9">
      <c r="A82" s="111"/>
      <c r="B82" s="71"/>
      <c r="E82" s="61"/>
      <c r="F82" s="62"/>
    </row>
    <row r="83" spans="1:9">
      <c r="A83" s="111"/>
      <c r="B83" s="71"/>
      <c r="E83" s="61"/>
      <c r="F83" s="62"/>
    </row>
    <row r="84" spans="1:9">
      <c r="A84" s="111"/>
      <c r="B84" s="71"/>
      <c r="E84" s="61"/>
      <c r="F84" s="62"/>
    </row>
    <row r="85" spans="1:9">
      <c r="A85" s="111"/>
      <c r="B85" s="71"/>
      <c r="E85" s="61"/>
      <c r="F85" s="62"/>
    </row>
    <row r="86" spans="1:9">
      <c r="A86" s="111"/>
      <c r="B86" s="71"/>
      <c r="E86" s="61"/>
      <c r="F86" s="62"/>
    </row>
    <row r="87" spans="1:9">
      <c r="A87" s="111"/>
      <c r="B87" s="71"/>
      <c r="E87" s="61"/>
      <c r="F87" s="62"/>
    </row>
    <row r="88" spans="1:9">
      <c r="A88" s="111"/>
      <c r="B88" s="71"/>
      <c r="E88" s="61"/>
      <c r="F88" s="62"/>
    </row>
    <row r="89" spans="1:9" ht="25.5">
      <c r="A89" s="112" t="s">
        <v>10</v>
      </c>
      <c r="B89" s="80" t="s">
        <v>477</v>
      </c>
      <c r="C89" s="68" t="s">
        <v>32</v>
      </c>
      <c r="D89" s="69" t="s">
        <v>0</v>
      </c>
      <c r="E89" s="69" t="s">
        <v>31</v>
      </c>
      <c r="F89" s="70" t="s">
        <v>1</v>
      </c>
    </row>
    <row r="90" spans="1:9">
      <c r="A90" s="113"/>
      <c r="B90" s="64"/>
      <c r="E90" s="61"/>
      <c r="F90" s="62"/>
    </row>
    <row r="91" spans="1:9" ht="59.25" customHeight="1">
      <c r="A91" s="111" t="s">
        <v>2</v>
      </c>
      <c r="B91" s="72" t="s">
        <v>472</v>
      </c>
      <c r="E91" s="61"/>
      <c r="F91" s="62"/>
    </row>
    <row r="92" spans="1:9" ht="29.25" customHeight="1">
      <c r="A92" s="111"/>
      <c r="B92" s="73" t="s">
        <v>479</v>
      </c>
      <c r="C92" s="43" t="s">
        <v>74</v>
      </c>
      <c r="D92" s="37">
        <v>100</v>
      </c>
      <c r="E92" s="234"/>
      <c r="F92" s="62">
        <f>SUM(D92*E92)</f>
        <v>0</v>
      </c>
    </row>
    <row r="93" spans="1:9">
      <c r="A93" s="111"/>
      <c r="B93" s="81"/>
      <c r="E93" s="82"/>
      <c r="F93" s="62"/>
      <c r="I93" s="83"/>
    </row>
    <row r="94" spans="1:9">
      <c r="A94" s="114"/>
      <c r="B94" s="78" t="s">
        <v>478</v>
      </c>
      <c r="C94" s="79"/>
      <c r="D94" s="76"/>
      <c r="E94" s="76"/>
      <c r="F94" s="77">
        <f>SUM(F92)</f>
        <v>0</v>
      </c>
    </row>
    <row r="95" spans="1:9">
      <c r="A95" s="111"/>
      <c r="B95" s="73"/>
      <c r="E95" s="61"/>
      <c r="F95" s="62"/>
    </row>
    <row r="96" spans="1:9">
      <c r="A96" s="111"/>
      <c r="B96" s="73"/>
      <c r="E96" s="61"/>
      <c r="F96" s="62"/>
    </row>
    <row r="97" spans="1:6">
      <c r="A97" s="111"/>
      <c r="B97" s="73"/>
      <c r="E97" s="61"/>
      <c r="F97" s="62"/>
    </row>
    <row r="98" spans="1:6">
      <c r="A98" s="111"/>
      <c r="B98" s="73"/>
      <c r="E98" s="61"/>
      <c r="F98" s="62"/>
    </row>
    <row r="99" spans="1:6">
      <c r="A99" s="111"/>
      <c r="B99" s="73"/>
      <c r="E99" s="61"/>
      <c r="F99" s="62"/>
    </row>
    <row r="100" spans="1:6">
      <c r="A100" s="111"/>
      <c r="B100" s="73"/>
      <c r="E100" s="61"/>
      <c r="F100" s="62"/>
    </row>
    <row r="101" spans="1:6">
      <c r="A101" s="111"/>
      <c r="B101" s="73"/>
      <c r="E101" s="61"/>
      <c r="F101" s="62"/>
    </row>
    <row r="102" spans="1:6">
      <c r="A102" s="111"/>
      <c r="B102" s="73"/>
      <c r="E102" s="61"/>
      <c r="F102" s="62"/>
    </row>
    <row r="103" spans="1:6">
      <c r="A103" s="111"/>
      <c r="B103" s="73"/>
      <c r="E103" s="61"/>
      <c r="F103" s="62"/>
    </row>
    <row r="104" spans="1:6">
      <c r="A104" s="111"/>
      <c r="B104" s="73"/>
      <c r="E104" s="61"/>
      <c r="F104" s="62"/>
    </row>
    <row r="105" spans="1:6">
      <c r="A105" s="111"/>
      <c r="B105" s="73"/>
      <c r="E105" s="61"/>
      <c r="F105" s="62"/>
    </row>
    <row r="106" spans="1:6">
      <c r="A106" s="111"/>
      <c r="B106" s="73"/>
      <c r="E106" s="61"/>
      <c r="F106" s="62"/>
    </row>
    <row r="107" spans="1:6">
      <c r="A107" s="111"/>
      <c r="B107" s="73"/>
      <c r="E107" s="61"/>
      <c r="F107" s="62"/>
    </row>
    <row r="108" spans="1:6">
      <c r="A108" s="111"/>
      <c r="B108" s="73"/>
      <c r="E108" s="61"/>
      <c r="F108" s="62"/>
    </row>
    <row r="109" spans="1:6">
      <c r="A109" s="111"/>
      <c r="B109" s="73"/>
      <c r="E109" s="61"/>
      <c r="F109" s="62"/>
    </row>
    <row r="110" spans="1:6">
      <c r="A110" s="111"/>
      <c r="B110" s="73"/>
      <c r="E110" s="61"/>
      <c r="F110" s="62"/>
    </row>
    <row r="111" spans="1:6">
      <c r="A111" s="111"/>
      <c r="B111" s="73"/>
      <c r="E111" s="61"/>
      <c r="F111" s="62"/>
    </row>
    <row r="112" spans="1:6">
      <c r="A112" s="111"/>
      <c r="B112" s="73"/>
      <c r="E112" s="61"/>
      <c r="F112" s="62"/>
    </row>
    <row r="113" spans="1:6">
      <c r="A113" s="111"/>
      <c r="B113" s="73"/>
      <c r="E113" s="61"/>
      <c r="F113" s="62"/>
    </row>
    <row r="114" spans="1:6">
      <c r="A114" s="111"/>
      <c r="B114" s="73"/>
      <c r="E114" s="61"/>
      <c r="F114" s="62"/>
    </row>
    <row r="115" spans="1:6">
      <c r="A115" s="111"/>
      <c r="B115" s="73"/>
      <c r="E115" s="61"/>
      <c r="F115" s="62"/>
    </row>
    <row r="116" spans="1:6">
      <c r="A116" s="111"/>
      <c r="B116" s="73"/>
      <c r="E116" s="61"/>
      <c r="F116" s="62"/>
    </row>
    <row r="117" spans="1:6">
      <c r="A117" s="111"/>
      <c r="B117" s="73"/>
      <c r="E117" s="61"/>
      <c r="F117" s="62"/>
    </row>
    <row r="118" spans="1:6">
      <c r="A118" s="111"/>
      <c r="B118" s="73"/>
      <c r="E118" s="61"/>
      <c r="F118" s="62"/>
    </row>
    <row r="119" spans="1:6">
      <c r="A119" s="111"/>
      <c r="B119" s="73"/>
      <c r="E119" s="61"/>
      <c r="F119" s="62"/>
    </row>
    <row r="120" spans="1:6">
      <c r="A120" s="111"/>
      <c r="B120" s="73"/>
      <c r="E120" s="61"/>
      <c r="F120" s="62"/>
    </row>
    <row r="121" spans="1:6">
      <c r="A121" s="111"/>
      <c r="B121" s="73"/>
      <c r="E121" s="61"/>
      <c r="F121" s="62"/>
    </row>
    <row r="122" spans="1:6">
      <c r="A122" s="111"/>
      <c r="B122" s="73"/>
      <c r="E122" s="61"/>
      <c r="F122" s="62"/>
    </row>
    <row r="123" spans="1:6">
      <c r="A123" s="111"/>
      <c r="B123" s="73"/>
      <c r="E123" s="61"/>
      <c r="F123" s="62"/>
    </row>
    <row r="124" spans="1:6">
      <c r="A124" s="111"/>
      <c r="B124" s="73"/>
      <c r="E124" s="61"/>
      <c r="F124" s="62"/>
    </row>
    <row r="125" spans="1:6">
      <c r="A125" s="111"/>
      <c r="B125" s="73"/>
      <c r="E125" s="61"/>
      <c r="F125" s="62"/>
    </row>
    <row r="126" spans="1:6">
      <c r="A126" s="111"/>
      <c r="B126" s="73"/>
      <c r="E126" s="61"/>
      <c r="F126" s="62"/>
    </row>
    <row r="127" spans="1:6">
      <c r="A127" s="111"/>
      <c r="B127" s="73"/>
      <c r="E127" s="61"/>
      <c r="F127" s="62"/>
    </row>
    <row r="128" spans="1:6">
      <c r="A128" s="111"/>
      <c r="B128" s="73"/>
      <c r="E128" s="61"/>
      <c r="F128" s="62"/>
    </row>
    <row r="129" spans="1:8">
      <c r="A129" s="111"/>
      <c r="B129" s="73"/>
      <c r="E129" s="61"/>
      <c r="F129" s="62"/>
    </row>
    <row r="130" spans="1:8">
      <c r="A130" s="111"/>
      <c r="B130" s="73"/>
      <c r="E130" s="61"/>
      <c r="F130" s="62"/>
    </row>
    <row r="131" spans="1:8">
      <c r="A131" s="111"/>
      <c r="B131" s="73"/>
      <c r="E131" s="61"/>
      <c r="F131" s="62"/>
    </row>
    <row r="132" spans="1:8">
      <c r="A132" s="111"/>
      <c r="B132" s="73"/>
      <c r="E132" s="61"/>
      <c r="F132" s="62"/>
    </row>
    <row r="133" spans="1:8">
      <c r="A133" s="112" t="s">
        <v>12</v>
      </c>
      <c r="B133" s="78" t="s">
        <v>484</v>
      </c>
      <c r="C133" s="68" t="s">
        <v>32</v>
      </c>
      <c r="D133" s="69" t="s">
        <v>0</v>
      </c>
      <c r="E133" s="69" t="s">
        <v>31</v>
      </c>
      <c r="F133" s="70" t="s">
        <v>1</v>
      </c>
    </row>
    <row r="134" spans="1:8">
      <c r="A134" s="111"/>
      <c r="B134" s="59"/>
      <c r="E134" s="61"/>
      <c r="F134" s="62"/>
    </row>
    <row r="135" spans="1:8" ht="51">
      <c r="A135" s="111" t="s">
        <v>5</v>
      </c>
      <c r="B135" s="72" t="s">
        <v>472</v>
      </c>
      <c r="E135" s="61"/>
      <c r="F135" s="62"/>
    </row>
    <row r="136" spans="1:8" ht="25.5">
      <c r="A136" s="111"/>
      <c r="B136" s="131" t="s">
        <v>483</v>
      </c>
      <c r="E136" s="61"/>
      <c r="F136" s="62"/>
    </row>
    <row r="137" spans="1:8" ht="51">
      <c r="A137" s="111" t="s">
        <v>151</v>
      </c>
      <c r="B137" s="54" t="s">
        <v>480</v>
      </c>
      <c r="C137" s="60" t="s">
        <v>260</v>
      </c>
      <c r="D137" s="61">
        <v>30</v>
      </c>
      <c r="E137" s="61"/>
      <c r="F137" s="62">
        <f t="shared" ref="F137:F139" si="2">SUM(D137*E137)</f>
        <v>0</v>
      </c>
    </row>
    <row r="138" spans="1:8" ht="41.25" customHeight="1">
      <c r="A138" s="111" t="s">
        <v>152</v>
      </c>
      <c r="B138" s="54" t="s">
        <v>481</v>
      </c>
      <c r="C138" s="60" t="s">
        <v>67</v>
      </c>
      <c r="D138" s="61">
        <v>3</v>
      </c>
      <c r="E138" s="61"/>
      <c r="F138" s="62">
        <f t="shared" si="2"/>
        <v>0</v>
      </c>
      <c r="H138" s="61">
        <f>((0.2*250)/0.7)*0.18*0.18</f>
        <v>2.3142857142857145</v>
      </c>
    </row>
    <row r="139" spans="1:8" ht="78">
      <c r="A139" s="111" t="s">
        <v>153</v>
      </c>
      <c r="B139" s="54" t="s">
        <v>482</v>
      </c>
      <c r="C139" s="60" t="s">
        <v>67</v>
      </c>
      <c r="D139" s="61">
        <v>3</v>
      </c>
      <c r="E139" s="61"/>
      <c r="F139" s="62">
        <f t="shared" si="2"/>
        <v>0</v>
      </c>
    </row>
    <row r="140" spans="1:8">
      <c r="A140" s="111"/>
      <c r="B140" s="59"/>
      <c r="E140" s="61"/>
      <c r="F140" s="62"/>
    </row>
    <row r="141" spans="1:8">
      <c r="A141" s="111"/>
      <c r="B141" s="59"/>
      <c r="E141" s="61"/>
      <c r="F141" s="62"/>
    </row>
    <row r="142" spans="1:8">
      <c r="B142" s="84"/>
      <c r="C142" s="85"/>
      <c r="D142" s="86"/>
      <c r="E142" s="87"/>
      <c r="F142" s="88"/>
    </row>
    <row r="143" spans="1:8">
      <c r="A143" s="114"/>
      <c r="B143" s="89" t="s">
        <v>485</v>
      </c>
      <c r="C143" s="90"/>
      <c r="D143" s="91"/>
      <c r="E143" s="76"/>
      <c r="F143" s="77">
        <f>SUM(F136:F139)</f>
        <v>0</v>
      </c>
    </row>
    <row r="144" spans="1:8">
      <c r="A144" s="111"/>
      <c r="B144" s="92"/>
      <c r="C144" s="85"/>
      <c r="D144" s="86"/>
      <c r="E144" s="61"/>
      <c r="F144" s="62"/>
    </row>
    <row r="145" spans="1:6">
      <c r="A145" s="111"/>
      <c r="B145" s="92"/>
      <c r="C145" s="85"/>
      <c r="D145" s="86"/>
      <c r="E145" s="61"/>
      <c r="F145" s="62"/>
    </row>
    <row r="146" spans="1:6">
      <c r="A146" s="111"/>
      <c r="B146" s="92"/>
      <c r="C146" s="85"/>
      <c r="D146" s="86"/>
      <c r="E146" s="61"/>
      <c r="F146" s="62"/>
    </row>
    <row r="147" spans="1:6">
      <c r="A147" s="111"/>
      <c r="B147" s="92"/>
      <c r="C147" s="85"/>
      <c r="D147" s="86"/>
      <c r="E147" s="61"/>
      <c r="F147" s="62"/>
    </row>
    <row r="148" spans="1:6">
      <c r="A148" s="111"/>
      <c r="B148" s="92"/>
      <c r="C148" s="85"/>
      <c r="D148" s="86"/>
      <c r="E148" s="61"/>
      <c r="F148" s="62"/>
    </row>
    <row r="149" spans="1:6">
      <c r="A149" s="111"/>
      <c r="B149" s="92"/>
      <c r="C149" s="85"/>
      <c r="D149" s="86"/>
      <c r="E149" s="61"/>
      <c r="F149" s="62"/>
    </row>
    <row r="150" spans="1:6">
      <c r="A150" s="111"/>
      <c r="B150" s="92"/>
      <c r="C150" s="85"/>
      <c r="D150" s="86"/>
      <c r="E150" s="61"/>
      <c r="F150" s="62"/>
    </row>
    <row r="151" spans="1:6">
      <c r="A151" s="111"/>
      <c r="B151" s="92"/>
      <c r="C151" s="85"/>
      <c r="D151" s="86"/>
      <c r="E151" s="61"/>
      <c r="F151" s="62"/>
    </row>
    <row r="152" spans="1:6">
      <c r="A152" s="111"/>
      <c r="B152" s="92"/>
      <c r="C152" s="85"/>
      <c r="D152" s="86"/>
      <c r="E152" s="61"/>
      <c r="F152" s="62"/>
    </row>
    <row r="153" spans="1:6">
      <c r="A153" s="111"/>
      <c r="B153" s="92"/>
      <c r="C153" s="85"/>
      <c r="D153" s="86"/>
      <c r="E153" s="61"/>
      <c r="F153" s="62"/>
    </row>
    <row r="154" spans="1:6">
      <c r="A154" s="111"/>
      <c r="B154" s="92"/>
      <c r="C154" s="85"/>
      <c r="D154" s="86"/>
      <c r="E154" s="61"/>
      <c r="F154" s="62"/>
    </row>
    <row r="155" spans="1:6">
      <c r="A155" s="111"/>
      <c r="B155" s="92"/>
      <c r="C155" s="85"/>
      <c r="D155" s="86"/>
      <c r="E155" s="61"/>
      <c r="F155" s="62"/>
    </row>
    <row r="156" spans="1:6">
      <c r="A156" s="111"/>
      <c r="B156" s="92"/>
      <c r="C156" s="85"/>
      <c r="D156" s="86"/>
      <c r="E156" s="61"/>
      <c r="F156" s="62"/>
    </row>
    <row r="157" spans="1:6">
      <c r="A157" s="111"/>
      <c r="B157" s="92"/>
      <c r="C157" s="85"/>
      <c r="D157" s="86"/>
      <c r="E157" s="61"/>
      <c r="F157" s="62"/>
    </row>
    <row r="158" spans="1:6">
      <c r="A158" s="111"/>
      <c r="B158" s="92"/>
      <c r="C158" s="85"/>
      <c r="D158" s="86"/>
      <c r="E158" s="61"/>
      <c r="F158" s="62"/>
    </row>
    <row r="159" spans="1:6">
      <c r="A159" s="111"/>
      <c r="B159" s="92"/>
      <c r="C159" s="85"/>
      <c r="D159" s="86"/>
      <c r="E159" s="61"/>
      <c r="F159" s="62"/>
    </row>
    <row r="160" spans="1:6">
      <c r="A160" s="111"/>
      <c r="B160" s="92"/>
      <c r="C160" s="85"/>
      <c r="D160" s="86"/>
      <c r="E160" s="61"/>
      <c r="F160" s="62"/>
    </row>
    <row r="161" spans="1:6">
      <c r="A161" s="111"/>
      <c r="B161" s="92"/>
      <c r="C161" s="85"/>
      <c r="D161" s="86"/>
      <c r="E161" s="61"/>
      <c r="F161" s="62"/>
    </row>
    <row r="162" spans="1:6">
      <c r="A162" s="111"/>
      <c r="B162" s="92"/>
      <c r="C162" s="85"/>
      <c r="D162" s="86"/>
      <c r="E162" s="61"/>
      <c r="F162" s="62"/>
    </row>
    <row r="163" spans="1:6">
      <c r="A163" s="111"/>
      <c r="B163" s="92"/>
      <c r="C163" s="85"/>
      <c r="D163" s="86"/>
      <c r="E163" s="61"/>
      <c r="F163" s="62"/>
    </row>
    <row r="164" spans="1:6">
      <c r="A164" s="111"/>
      <c r="B164" s="92"/>
      <c r="C164" s="85"/>
      <c r="D164" s="86"/>
      <c r="E164" s="61"/>
      <c r="F164" s="62"/>
    </row>
    <row r="165" spans="1:6">
      <c r="A165" s="111"/>
      <c r="B165" s="92"/>
      <c r="C165" s="85"/>
      <c r="D165" s="86"/>
      <c r="E165" s="61"/>
      <c r="F165" s="62"/>
    </row>
    <row r="166" spans="1:6">
      <c r="A166" s="111"/>
      <c r="B166" s="92"/>
      <c r="C166" s="85"/>
      <c r="D166" s="86"/>
      <c r="E166" s="61"/>
      <c r="F166" s="62"/>
    </row>
    <row r="167" spans="1:6">
      <c r="A167" s="111"/>
      <c r="B167" s="92"/>
      <c r="C167" s="85"/>
      <c r="D167" s="86"/>
      <c r="E167" s="61"/>
      <c r="F167" s="62"/>
    </row>
    <row r="168" spans="1:6">
      <c r="A168" s="111"/>
      <c r="B168" s="92"/>
      <c r="C168" s="85"/>
      <c r="D168" s="86"/>
      <c r="E168" s="61"/>
      <c r="F168" s="62"/>
    </row>
    <row r="169" spans="1:6">
      <c r="A169" s="111"/>
      <c r="B169" s="92"/>
      <c r="C169" s="85"/>
      <c r="D169" s="86"/>
      <c r="E169" s="61"/>
      <c r="F169" s="62"/>
    </row>
    <row r="170" spans="1:6">
      <c r="A170" s="111"/>
      <c r="B170" s="92"/>
      <c r="C170" s="85"/>
      <c r="D170" s="86"/>
      <c r="E170" s="61"/>
      <c r="F170" s="62"/>
    </row>
    <row r="171" spans="1:6">
      <c r="A171" s="55"/>
      <c r="B171" s="22" t="s">
        <v>446</v>
      </c>
      <c r="C171" s="309"/>
      <c r="D171" s="309"/>
      <c r="E171" s="309"/>
      <c r="F171" s="310"/>
    </row>
    <row r="172" spans="1:6">
      <c r="A172" s="97"/>
      <c r="B172" s="18"/>
      <c r="C172" s="7"/>
      <c r="D172" s="34"/>
      <c r="E172" s="35"/>
      <c r="F172" s="8"/>
    </row>
    <row r="173" spans="1:6">
      <c r="A173" s="97" t="s">
        <v>6</v>
      </c>
      <c r="B173" s="23" t="s">
        <v>35</v>
      </c>
      <c r="C173" s="42"/>
      <c r="D173" s="36"/>
      <c r="E173" s="45"/>
      <c r="F173" s="10"/>
    </row>
    <row r="174" spans="1:6">
      <c r="A174" s="97"/>
      <c r="B174" s="18"/>
      <c r="C174" s="7"/>
      <c r="D174" s="34"/>
      <c r="E174" s="57" t="s">
        <v>445</v>
      </c>
      <c r="F174" s="8">
        <f>SUM(F30)</f>
        <v>0</v>
      </c>
    </row>
    <row r="175" spans="1:6">
      <c r="A175" s="97" t="s">
        <v>7</v>
      </c>
      <c r="B175" s="23" t="s">
        <v>11</v>
      </c>
      <c r="C175" s="42"/>
      <c r="D175" s="38"/>
      <c r="E175" s="45"/>
      <c r="F175" s="10"/>
    </row>
    <row r="176" spans="1:6">
      <c r="A176" s="97"/>
      <c r="B176" s="18"/>
      <c r="C176" s="7"/>
      <c r="D176" s="39"/>
      <c r="E176" s="57" t="s">
        <v>445</v>
      </c>
      <c r="F176" s="8">
        <f>SUM(F49)</f>
        <v>0</v>
      </c>
    </row>
    <row r="177" spans="1:7">
      <c r="A177" s="97" t="s">
        <v>10</v>
      </c>
      <c r="B177" s="23" t="s">
        <v>33</v>
      </c>
      <c r="C177" s="42"/>
      <c r="D177" s="38"/>
      <c r="E177" s="45"/>
      <c r="F177" s="10"/>
    </row>
    <row r="178" spans="1:7">
      <c r="A178" s="97"/>
      <c r="B178" s="18"/>
      <c r="C178" s="7"/>
      <c r="D178" s="34"/>
      <c r="E178" s="57" t="s">
        <v>445</v>
      </c>
      <c r="F178" s="8">
        <f>SUM(F94)</f>
        <v>0</v>
      </c>
    </row>
    <row r="179" spans="1:7">
      <c r="A179" s="97" t="s">
        <v>12</v>
      </c>
      <c r="B179" s="23" t="s">
        <v>46</v>
      </c>
      <c r="C179" s="42"/>
      <c r="D179" s="38"/>
      <c r="E179" s="45"/>
      <c r="F179" s="10"/>
    </row>
    <row r="180" spans="1:7" s="235" customFormat="1" ht="13.5" thickBot="1">
      <c r="A180" s="47"/>
      <c r="B180" s="29"/>
      <c r="C180" s="236"/>
      <c r="D180" s="40"/>
      <c r="E180" s="58" t="s">
        <v>445</v>
      </c>
      <c r="F180" s="11">
        <f>SUM(F143)</f>
        <v>0</v>
      </c>
    </row>
    <row r="181" spans="1:7">
      <c r="A181" s="47"/>
      <c r="B181" s="16"/>
      <c r="C181" s="7"/>
      <c r="D181" s="34"/>
      <c r="E181" s="35"/>
      <c r="F181" s="8"/>
    </row>
    <row r="182" spans="1:7">
      <c r="A182" s="47"/>
      <c r="B182" s="23" t="s">
        <v>16</v>
      </c>
      <c r="C182" s="42"/>
      <c r="D182" s="36"/>
      <c r="E182" s="45"/>
      <c r="F182" s="12"/>
    </row>
    <row r="183" spans="1:7">
      <c r="A183" s="47"/>
      <c r="B183" s="13"/>
      <c r="C183" s="7"/>
      <c r="D183" s="34"/>
      <c r="E183" s="57" t="s">
        <v>445</v>
      </c>
      <c r="F183" s="8">
        <f>SUM(F174:F180)</f>
        <v>0</v>
      </c>
    </row>
    <row r="184" spans="1:7">
      <c r="A184" s="47"/>
      <c r="B184" s="23" t="s">
        <v>27</v>
      </c>
      <c r="C184" s="44"/>
      <c r="D184" s="41"/>
      <c r="E184" s="46"/>
      <c r="F184" s="12"/>
    </row>
    <row r="185" spans="1:7">
      <c r="A185" s="47"/>
      <c r="B185" s="13"/>
      <c r="C185" s="7"/>
      <c r="D185" s="34"/>
      <c r="E185" s="57" t="s">
        <v>445</v>
      </c>
      <c r="F185" s="8">
        <f>SUM(F183*0.25)</f>
        <v>0</v>
      </c>
    </row>
    <row r="186" spans="1:7">
      <c r="A186" s="47"/>
      <c r="B186" s="23" t="s">
        <v>17</v>
      </c>
      <c r="C186" s="44"/>
      <c r="D186" s="41"/>
      <c r="E186" s="46"/>
      <c r="F186" s="12"/>
      <c r="G186" s="63">
        <f>F186/7.534</f>
        <v>0</v>
      </c>
    </row>
    <row r="187" spans="1:7">
      <c r="A187" s="47"/>
      <c r="B187" s="16"/>
      <c r="C187" s="7"/>
      <c r="D187" s="34"/>
      <c r="E187" s="57" t="s">
        <v>445</v>
      </c>
      <c r="F187" s="8">
        <f>SUM(F183:F185)</f>
        <v>0</v>
      </c>
    </row>
    <row r="188" spans="1:7">
      <c r="A188" s="111"/>
      <c r="B188" s="73"/>
      <c r="E188" s="61"/>
      <c r="F188" s="62"/>
    </row>
    <row r="189" spans="1:7">
      <c r="A189" s="111"/>
      <c r="B189" s="73"/>
      <c r="E189" s="61"/>
      <c r="F189" s="62"/>
    </row>
    <row r="190" spans="1:7">
      <c r="A190" s="111"/>
      <c r="B190" s="73"/>
      <c r="E190" s="61"/>
      <c r="F190" s="62"/>
    </row>
    <row r="191" spans="1:7">
      <c r="A191" s="111"/>
      <c r="B191" s="73"/>
      <c r="E191" s="61"/>
      <c r="F191" s="62"/>
    </row>
    <row r="192" spans="1:7">
      <c r="A192" s="111"/>
      <c r="B192" s="73"/>
      <c r="E192" s="61"/>
      <c r="F192" s="62"/>
    </row>
    <row r="193" spans="1:12">
      <c r="A193" s="111"/>
      <c r="B193" s="73"/>
      <c r="E193" s="61"/>
      <c r="F193" s="62"/>
    </row>
    <row r="194" spans="1:12">
      <c r="A194" s="111"/>
      <c r="B194" s="73"/>
      <c r="E194" s="61"/>
      <c r="F194" s="62"/>
    </row>
    <row r="197" spans="1:12">
      <c r="K197" s="93"/>
    </row>
    <row r="198" spans="1:12">
      <c r="K198" s="93"/>
      <c r="L198" s="65"/>
    </row>
    <row r="202" spans="1:12">
      <c r="A202" s="116"/>
      <c r="D202" s="60"/>
      <c r="F202" s="63"/>
      <c r="I202" s="94"/>
    </row>
    <row r="203" spans="1:12">
      <c r="A203" s="111"/>
      <c r="B203" s="95"/>
      <c r="E203" s="61"/>
      <c r="F203" s="62"/>
    </row>
    <row r="204" spans="1:12">
      <c r="A204" s="111"/>
      <c r="B204" s="95"/>
      <c r="E204" s="61"/>
      <c r="F204" s="62"/>
    </row>
    <row r="205" spans="1:12">
      <c r="A205" s="111"/>
      <c r="B205" s="95"/>
      <c r="E205" s="61"/>
      <c r="F205" s="62"/>
    </row>
    <row r="206" spans="1:12">
      <c r="A206" s="111"/>
      <c r="B206" s="95"/>
      <c r="E206" s="61"/>
      <c r="F206" s="62"/>
    </row>
    <row r="207" spans="1:12">
      <c r="A207" s="111"/>
      <c r="B207" s="95"/>
      <c r="E207" s="61"/>
      <c r="F207" s="62"/>
    </row>
    <row r="208" spans="1:12">
      <c r="A208" s="111"/>
      <c r="B208" s="95"/>
      <c r="E208" s="61"/>
      <c r="F208" s="62"/>
    </row>
    <row r="209" spans="1:6">
      <c r="A209" s="111"/>
      <c r="B209" s="95"/>
      <c r="E209" s="61"/>
      <c r="F209" s="62"/>
    </row>
  </sheetData>
  <mergeCells count="2">
    <mergeCell ref="C6:F6"/>
    <mergeCell ref="C171:F171"/>
  </mergeCells>
  <pageMargins left="0.74803149606299202" right="0.74803149606299202" top="0.98425196850393704" bottom="0.98425196850393704" header="0.511811023622047" footer="0.51181102362204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10" sqref="E10"/>
    </sheetView>
  </sheetViews>
  <sheetFormatPr defaultRowHeight="12.75"/>
  <cols>
    <col min="5" max="5" width="20.5703125" style="300" customWidth="1"/>
  </cols>
  <sheetData>
    <row r="1" spans="1:5">
      <c r="A1" s="312" t="s">
        <v>571</v>
      </c>
      <c r="B1" s="312"/>
      <c r="C1" s="312"/>
      <c r="D1" s="312"/>
      <c r="E1" s="312"/>
    </row>
    <row r="3" spans="1:5">
      <c r="A3" s="311" t="s">
        <v>566</v>
      </c>
      <c r="B3" s="311"/>
      <c r="C3" s="311"/>
      <c r="D3" s="311"/>
      <c r="E3" s="301">
        <f>SUM('Troškovnik-BEZ CIJENE'!F1108)</f>
        <v>0</v>
      </c>
    </row>
    <row r="4" spans="1:5">
      <c r="A4" s="311" t="s">
        <v>567</v>
      </c>
      <c r="B4" s="311"/>
      <c r="C4" s="311"/>
      <c r="D4" s="311"/>
      <c r="E4" s="301">
        <f>SUM('Troškovnik - ostali radovi-BEZ '!F183)</f>
        <v>0</v>
      </c>
    </row>
    <row r="5" spans="1:5">
      <c r="A5" s="311" t="s">
        <v>568</v>
      </c>
      <c r="B5" s="311"/>
      <c r="C5" s="311"/>
      <c r="D5" s="311"/>
      <c r="E5" s="302">
        <f>SUM(E3:E4)</f>
        <v>0</v>
      </c>
    </row>
    <row r="6" spans="1:5">
      <c r="A6" s="311" t="s">
        <v>569</v>
      </c>
      <c r="B6" s="311"/>
      <c r="C6" s="311"/>
      <c r="D6" s="311"/>
      <c r="E6" s="302">
        <f>SUM(E5*0.25)</f>
        <v>0</v>
      </c>
    </row>
    <row r="7" spans="1:5">
      <c r="A7" s="311" t="s">
        <v>570</v>
      </c>
      <c r="B7" s="311"/>
      <c r="C7" s="311"/>
      <c r="D7" s="311"/>
      <c r="E7" s="302">
        <f>SUM(E5:E6)</f>
        <v>0</v>
      </c>
    </row>
  </sheetData>
  <mergeCells count="6">
    <mergeCell ref="A1:E1"/>
    <mergeCell ref="A3:D3"/>
    <mergeCell ref="A4:D4"/>
    <mergeCell ref="A5:D5"/>
    <mergeCell ref="A6:D6"/>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Troškovnik-BEZ CIJENE</vt:lpstr>
      <vt:lpstr>Troškovnik - ostali radovi-BEZ </vt:lpstr>
      <vt:lpstr>SVEUKUPNA REKAPITULACIJA</vt:lpstr>
      <vt:lpstr>'Troškovnik - ostali radovi-BEZ '!Ispis_naslova</vt:lpstr>
      <vt:lpstr>'Troškovnik-BEZ CIJENE'!Ispis_naslova</vt:lpstr>
      <vt:lpstr>'Troškovnik - ostali radovi-BEZ '!Podrucje_ispisa</vt:lpstr>
      <vt:lpstr>'Troškovnik-BEZ CIJENE'!Podrucje_ispisa</vt:lpstr>
    </vt:vector>
  </TitlesOfParts>
  <Company>Dis Projekt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Đurđa Didović</dc:creator>
  <cp:lastModifiedBy>Daniel Stipić</cp:lastModifiedBy>
  <cp:lastPrinted>2023-02-15T13:44:31Z</cp:lastPrinted>
  <dcterms:created xsi:type="dcterms:W3CDTF">2008-02-23T20:21:51Z</dcterms:created>
  <dcterms:modified xsi:type="dcterms:W3CDTF">2023-11-28T11:09:36Z</dcterms:modified>
</cp:coreProperties>
</file>