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eskera\Desktop\"/>
    </mc:Choice>
  </mc:AlternateContent>
  <bookViews>
    <workbookView xWindow="0" yWindow="0" windowWidth="28800" windowHeight="12300" firstSheet="1" activeTab="8"/>
  </bookViews>
  <sheets>
    <sheet name="OPKK sažetak" sheetId="2" r:id="rId1"/>
    <sheet name="Pozivi u tijeku" sheetId="3" r:id="rId2"/>
    <sheet name="energetika - 4b1" sheetId="4" r:id="rId3"/>
    <sheet name="energetika - 4b2" sheetId="5" r:id="rId4"/>
    <sheet name="OPKK vode" sheetId="71" r:id="rId5"/>
    <sheet name="6ii ostali projekti u pripremi" sheetId="70" r:id="rId6"/>
    <sheet name="Proračun stanje vode" sheetId="69" r:id="rId7"/>
    <sheet name="SC 6i1_1" sheetId="75" r:id="rId8"/>
    <sheet name="SC 6i1_2" sheetId="76" r:id="rId9"/>
    <sheet name="5a1" sheetId="7" r:id="rId10"/>
    <sheet name="SC 6e1 6iii" sheetId="8" r:id="rId11"/>
    <sheet name="OPKK PO1 i PO3" sheetId="77" r:id="rId12"/>
    <sheet name="List1" sheetId="39" r:id="rId13"/>
  </sheets>
  <externalReferences>
    <externalReference r:id="rId14"/>
    <externalReference r:id="rId15"/>
    <externalReference r:id="rId16"/>
    <externalReference r:id="rId17"/>
    <externalReference r:id="rId18"/>
    <externalReference r:id="rId19"/>
    <externalReference r:id="rId20"/>
    <externalReference r:id="rId21"/>
  </externalReferences>
  <definedNames>
    <definedName name="_PR1" localSheetId="5">SUM(#REF!,#REF!,#REF!,#REF!,#REF!,#REF!,#REF!,#REF!)</definedName>
    <definedName name="_PR1" localSheetId="2">SUM(#REF!,#REF!,#REF!,#REF!,#REF!,#REF!,#REF!,#REF!)</definedName>
    <definedName name="_PR1" localSheetId="3">SUM(#REF!,#REF!,#REF!,#REF!,#REF!,#REF!,#REF!,#REF!)</definedName>
    <definedName name="_PR1" localSheetId="11">SUM(#REF!,#REF!,#REF!,#REF!,#REF!,#REF!,#REF!,#REF!)</definedName>
    <definedName name="_PR1" localSheetId="4">SUM(#REF!,#REF!,#REF!,#REF!,#REF!,#REF!,#REF!,#REF!)</definedName>
    <definedName name="_PR1" localSheetId="1">SUM(#REF!,#REF!,#REF!,#REF!,#REF!,#REF!,#REF!,#REF!)</definedName>
    <definedName name="_PR1" localSheetId="6">SUM(#REF!,#REF!,#REF!,#REF!,#REF!,#REF!,#REF!,#REF!)</definedName>
    <definedName name="_PR1" localSheetId="7">SUM(#REF!,#REF!,#REF!,#REF!,#REF!,#REF!,#REF!,#REF!)</definedName>
    <definedName name="_PR1" localSheetId="8">SUM(#REF!,#REF!,#REF!,#REF!,#REF!,#REF!,#REF!,#REF!)</definedName>
    <definedName name="_PR1">SUM(#REF!,#REF!,#REF!,#REF!,#REF!,#REF!,#REF!,#REF!)</definedName>
    <definedName name="BEx1MWM5H1TXXDN1DABCVZQ1T6SZ" localSheetId="5" hidden="1">'[1]categor actual'!#REF!</definedName>
    <definedName name="BEx1MWM5H1TXXDN1DABCVZQ1T6SZ" localSheetId="2" hidden="1">'[1]categor actual'!#REF!</definedName>
    <definedName name="BEx1MWM5H1TXXDN1DABCVZQ1T6SZ" localSheetId="3" hidden="1">'[1]categor actual'!#REF!</definedName>
    <definedName name="BEx1MWM5H1TXXDN1DABCVZQ1T6SZ" localSheetId="11" hidden="1">'[1]categor actual'!#REF!</definedName>
    <definedName name="BEx1MWM5H1TXXDN1DABCVZQ1T6SZ" localSheetId="4" hidden="1">'[1]categor actual'!#REF!</definedName>
    <definedName name="BEx1MWM5H1TXXDN1DABCVZQ1T6SZ" localSheetId="1" hidden="1">'[1]categor actual'!#REF!</definedName>
    <definedName name="BEx1MWM5H1TXXDN1DABCVZQ1T6SZ" localSheetId="6" hidden="1">'[1]categor actual'!#REF!</definedName>
    <definedName name="BEx1MWM5H1TXXDN1DABCVZQ1T6SZ" localSheetId="7" hidden="1">'[1]categor actual'!#REF!</definedName>
    <definedName name="BEx1MWM5H1TXXDN1DABCVZQ1T6SZ" localSheetId="8" hidden="1">'[1]categor actual'!#REF!</definedName>
    <definedName name="BEx1MWM5H1TXXDN1DABCVZQ1T6SZ" hidden="1">'[1]categor actual'!#REF!</definedName>
    <definedName name="BEx1PF4GAB319YCV9QUDEA9ZWG27" localSheetId="5" hidden="1">#REF!</definedName>
    <definedName name="BEx1PF4GAB319YCV9QUDEA9ZWG27" localSheetId="2" hidden="1">#REF!</definedName>
    <definedName name="BEx1PF4GAB319YCV9QUDEA9ZWG27" localSheetId="3" hidden="1">#REF!</definedName>
    <definedName name="BEx1PF4GAB319YCV9QUDEA9ZWG27" localSheetId="4" hidden="1">#REF!</definedName>
    <definedName name="BEx1PF4GAB319YCV9QUDEA9ZWG27" localSheetId="1" hidden="1">#REF!</definedName>
    <definedName name="BEx1PF4GAB319YCV9QUDEA9ZWG27" localSheetId="6" hidden="1">#REF!</definedName>
    <definedName name="BEx1PF4GAB319YCV9QUDEA9ZWG27" localSheetId="7" hidden="1">#REF!</definedName>
    <definedName name="BEx1PF4GAB319YCV9QUDEA9ZWG27" localSheetId="8" hidden="1">#REF!</definedName>
    <definedName name="BEx1PF4GAB319YCV9QUDEA9ZWG27" hidden="1">#REF!</definedName>
    <definedName name="BEx1RQW4CPYP9GBJ2BK27K4QTMDQ" localSheetId="5" hidden="1">#REF!</definedName>
    <definedName name="BEx1RQW4CPYP9GBJ2BK27K4QTMDQ" localSheetId="2" hidden="1">#REF!</definedName>
    <definedName name="BEx1RQW4CPYP9GBJ2BK27K4QTMDQ" localSheetId="3" hidden="1">#REF!</definedName>
    <definedName name="BEx1RQW4CPYP9GBJ2BK27K4QTMDQ" localSheetId="4" hidden="1">#REF!</definedName>
    <definedName name="BEx1RQW4CPYP9GBJ2BK27K4QTMDQ" localSheetId="1" hidden="1">#REF!</definedName>
    <definedName name="BEx1RQW4CPYP9GBJ2BK27K4QTMDQ" localSheetId="6" hidden="1">#REF!</definedName>
    <definedName name="BEx1RQW4CPYP9GBJ2BK27K4QTMDQ" localSheetId="7" hidden="1">#REF!</definedName>
    <definedName name="BEx1RQW4CPYP9GBJ2BK27K4QTMDQ" localSheetId="8" hidden="1">#REF!</definedName>
    <definedName name="BEx1RQW4CPYP9GBJ2BK27K4QTMDQ" hidden="1">#REF!</definedName>
    <definedName name="BEx3C6C72D342WR97R61C0E9D5YX" localSheetId="5" hidden="1">#REF!</definedName>
    <definedName name="BEx3C6C72D342WR97R61C0E9D5YX" localSheetId="2" hidden="1">#REF!</definedName>
    <definedName name="BEx3C6C72D342WR97R61C0E9D5YX" localSheetId="3" hidden="1">#REF!</definedName>
    <definedName name="BEx3C6C72D342WR97R61C0E9D5YX" localSheetId="4" hidden="1">#REF!</definedName>
    <definedName name="BEx3C6C72D342WR97R61C0E9D5YX" localSheetId="1" hidden="1">#REF!</definedName>
    <definedName name="BEx3C6C72D342WR97R61C0E9D5YX" localSheetId="6" hidden="1">#REF!</definedName>
    <definedName name="BEx3C6C72D342WR97R61C0E9D5YX" localSheetId="7" hidden="1">#REF!</definedName>
    <definedName name="BEx3C6C72D342WR97R61C0E9D5YX" localSheetId="8" hidden="1">#REF!</definedName>
    <definedName name="BEx3C6C72D342WR97R61C0E9D5YX" hidden="1">#REF!</definedName>
    <definedName name="BEx3F4QDLQVTHD2RH4IHKAYNPGS1" localSheetId="5" hidden="1">#REF!</definedName>
    <definedName name="BEx3F4QDLQVTHD2RH4IHKAYNPGS1" localSheetId="2" hidden="1">#REF!</definedName>
    <definedName name="BEx3F4QDLQVTHD2RH4IHKAYNPGS1" localSheetId="3" hidden="1">#REF!</definedName>
    <definedName name="BEx3F4QDLQVTHD2RH4IHKAYNPGS1" localSheetId="4" hidden="1">#REF!</definedName>
    <definedName name="BEx3F4QDLQVTHD2RH4IHKAYNPGS1" localSheetId="1" hidden="1">#REF!</definedName>
    <definedName name="BEx3F4QDLQVTHD2RH4IHKAYNPGS1" localSheetId="6" hidden="1">#REF!</definedName>
    <definedName name="BEx3F4QDLQVTHD2RH4IHKAYNPGS1" localSheetId="7" hidden="1">#REF!</definedName>
    <definedName name="BEx3F4QDLQVTHD2RH4IHKAYNPGS1" localSheetId="8" hidden="1">#REF!</definedName>
    <definedName name="BEx3F4QDLQVTHD2RH4IHKAYNPGS1" hidden="1">#REF!</definedName>
    <definedName name="BEx3L8K6K4FDKHJMHHQ9HTJ4IM75" localSheetId="5" hidden="1">#REF!</definedName>
    <definedName name="BEx3L8K6K4FDKHJMHHQ9HTJ4IM75" localSheetId="2" hidden="1">#REF!</definedName>
    <definedName name="BEx3L8K6K4FDKHJMHHQ9HTJ4IM75" localSheetId="3" hidden="1">#REF!</definedName>
    <definedName name="BEx3L8K6K4FDKHJMHHQ9HTJ4IM75" localSheetId="4" hidden="1">#REF!</definedName>
    <definedName name="BEx3L8K6K4FDKHJMHHQ9HTJ4IM75" localSheetId="1" hidden="1">#REF!</definedName>
    <definedName name="BEx3L8K6K4FDKHJMHHQ9HTJ4IM75" localSheetId="6" hidden="1">#REF!</definedName>
    <definedName name="BEx3L8K6K4FDKHJMHHQ9HTJ4IM75" localSheetId="7" hidden="1">#REF!</definedName>
    <definedName name="BEx3L8K6K4FDKHJMHHQ9HTJ4IM75" localSheetId="8" hidden="1">#REF!</definedName>
    <definedName name="BEx3L8K6K4FDKHJMHHQ9HTJ4IM75" hidden="1">#REF!</definedName>
    <definedName name="BEx3OG8TKDYI7V3L7I5WPEIE96UB" localSheetId="5" hidden="1">#REF!</definedName>
    <definedName name="BEx3OG8TKDYI7V3L7I5WPEIE96UB" localSheetId="2" hidden="1">#REF!</definedName>
    <definedName name="BEx3OG8TKDYI7V3L7I5WPEIE96UB" localSheetId="3" hidden="1">#REF!</definedName>
    <definedName name="BEx3OG8TKDYI7V3L7I5WPEIE96UB" localSheetId="4" hidden="1">#REF!</definedName>
    <definedName name="BEx3OG8TKDYI7V3L7I5WPEIE96UB" localSheetId="1" hidden="1">#REF!</definedName>
    <definedName name="BEx3OG8TKDYI7V3L7I5WPEIE96UB" localSheetId="6" hidden="1">#REF!</definedName>
    <definedName name="BEx3OG8TKDYI7V3L7I5WPEIE96UB" localSheetId="7" hidden="1">#REF!</definedName>
    <definedName name="BEx3OG8TKDYI7V3L7I5WPEIE96UB" localSheetId="8" hidden="1">#REF!</definedName>
    <definedName name="BEx3OG8TKDYI7V3L7I5WPEIE96UB" hidden="1">#REF!</definedName>
    <definedName name="BEx3OTKW09J9W649UG1N48F511UR" localSheetId="5" hidden="1">#REF!</definedName>
    <definedName name="BEx3OTKW09J9W649UG1N48F511UR" localSheetId="2" hidden="1">#REF!</definedName>
    <definedName name="BEx3OTKW09J9W649UG1N48F511UR" localSheetId="3" hidden="1">#REF!</definedName>
    <definedName name="BEx3OTKW09J9W649UG1N48F511UR" localSheetId="4" hidden="1">#REF!</definedName>
    <definedName name="BEx3OTKW09J9W649UG1N48F511UR" localSheetId="1" hidden="1">#REF!</definedName>
    <definedName name="BEx3OTKW09J9W649UG1N48F511UR" localSheetId="6" hidden="1">#REF!</definedName>
    <definedName name="BEx3OTKW09J9W649UG1N48F511UR" localSheetId="7" hidden="1">#REF!</definedName>
    <definedName name="BEx3OTKW09J9W649UG1N48F511UR" localSheetId="8" hidden="1">#REF!</definedName>
    <definedName name="BEx3OTKW09J9W649UG1N48F511UR" hidden="1">#REF!</definedName>
    <definedName name="BEx5AUVDS310N3AHNIJ7L3VYWRE2" localSheetId="5" hidden="1">#REF!</definedName>
    <definedName name="BEx5AUVDS310N3AHNIJ7L3VYWRE2" localSheetId="2" hidden="1">#REF!</definedName>
    <definedName name="BEx5AUVDS310N3AHNIJ7L3VYWRE2" localSheetId="3" hidden="1">#REF!</definedName>
    <definedName name="BEx5AUVDS310N3AHNIJ7L3VYWRE2" localSheetId="4" hidden="1">#REF!</definedName>
    <definedName name="BEx5AUVDS310N3AHNIJ7L3VYWRE2" localSheetId="1" hidden="1">#REF!</definedName>
    <definedName name="BEx5AUVDS310N3AHNIJ7L3VYWRE2" localSheetId="6" hidden="1">#REF!</definedName>
    <definedName name="BEx5AUVDS310N3AHNIJ7L3VYWRE2" localSheetId="7" hidden="1">#REF!</definedName>
    <definedName name="BEx5AUVDS310N3AHNIJ7L3VYWRE2" localSheetId="8" hidden="1">#REF!</definedName>
    <definedName name="BEx5AUVDS310N3AHNIJ7L3VYWRE2" hidden="1">#REF!</definedName>
    <definedName name="BEx5BDR6FUUVYMUY455E9BST89UU" localSheetId="5" hidden="1">#REF!</definedName>
    <definedName name="BEx5BDR6FUUVYMUY455E9BST89UU" localSheetId="2" hidden="1">#REF!</definedName>
    <definedName name="BEx5BDR6FUUVYMUY455E9BST89UU" localSheetId="3" hidden="1">#REF!</definedName>
    <definedName name="BEx5BDR6FUUVYMUY455E9BST89UU" localSheetId="4" hidden="1">#REF!</definedName>
    <definedName name="BEx5BDR6FUUVYMUY455E9BST89UU" localSheetId="1" hidden="1">#REF!</definedName>
    <definedName name="BEx5BDR6FUUVYMUY455E9BST89UU" localSheetId="6" hidden="1">#REF!</definedName>
    <definedName name="BEx5BDR6FUUVYMUY455E9BST89UU" localSheetId="7" hidden="1">#REF!</definedName>
    <definedName name="BEx5BDR6FUUVYMUY455E9BST89UU" localSheetId="8" hidden="1">#REF!</definedName>
    <definedName name="BEx5BDR6FUUVYMUY455E9BST89UU" hidden="1">#REF!</definedName>
    <definedName name="BEx5M17SNARGYVHW492HXTM4LJ9D" localSheetId="5" hidden="1">#REF!</definedName>
    <definedName name="BEx5M17SNARGYVHW492HXTM4LJ9D" localSheetId="2" hidden="1">#REF!</definedName>
    <definedName name="BEx5M17SNARGYVHW492HXTM4LJ9D" localSheetId="3" hidden="1">#REF!</definedName>
    <definedName name="BEx5M17SNARGYVHW492HXTM4LJ9D" localSheetId="4" hidden="1">#REF!</definedName>
    <definedName name="BEx5M17SNARGYVHW492HXTM4LJ9D" localSheetId="1" hidden="1">#REF!</definedName>
    <definedName name="BEx5M17SNARGYVHW492HXTM4LJ9D" localSheetId="6" hidden="1">#REF!</definedName>
    <definedName name="BEx5M17SNARGYVHW492HXTM4LJ9D" localSheetId="7" hidden="1">#REF!</definedName>
    <definedName name="BEx5M17SNARGYVHW492HXTM4LJ9D" localSheetId="8" hidden="1">#REF!</definedName>
    <definedName name="BEx5M17SNARGYVHW492HXTM4LJ9D" hidden="1">#REF!</definedName>
    <definedName name="BEx5OQME73PU8GJQC1BZ9QCGU11V" localSheetId="5" hidden="1">'[1]categor actual'!#REF!</definedName>
    <definedName name="BEx5OQME73PU8GJQC1BZ9QCGU11V" localSheetId="2" hidden="1">'[1]categor actual'!#REF!</definedName>
    <definedName name="BEx5OQME73PU8GJQC1BZ9QCGU11V" localSheetId="3" hidden="1">'[1]categor actual'!#REF!</definedName>
    <definedName name="BEx5OQME73PU8GJQC1BZ9QCGU11V" localSheetId="11" hidden="1">'[1]categor actual'!#REF!</definedName>
    <definedName name="BEx5OQME73PU8GJQC1BZ9QCGU11V" localSheetId="4" hidden="1">'[1]categor actual'!#REF!</definedName>
    <definedName name="BEx5OQME73PU8GJQC1BZ9QCGU11V" localSheetId="1" hidden="1">'[1]categor actual'!#REF!</definedName>
    <definedName name="BEx5OQME73PU8GJQC1BZ9QCGU11V" localSheetId="6" hidden="1">'[1]categor actual'!#REF!</definedName>
    <definedName name="BEx5OQME73PU8GJQC1BZ9QCGU11V" localSheetId="7" hidden="1">'[1]categor actual'!#REF!</definedName>
    <definedName name="BEx5OQME73PU8GJQC1BZ9QCGU11V" localSheetId="8" hidden="1">'[1]categor actual'!#REF!</definedName>
    <definedName name="BEx5OQME73PU8GJQC1BZ9QCGU11V" hidden="1">'[1]categor actual'!#REF!</definedName>
    <definedName name="BEx5P0TA3RZOHBKBI42FUH8H6HOM" localSheetId="5" hidden="1">#REF!</definedName>
    <definedName name="BEx5P0TA3RZOHBKBI42FUH8H6HOM" localSheetId="2" hidden="1">#REF!</definedName>
    <definedName name="BEx5P0TA3RZOHBKBI42FUH8H6HOM" localSheetId="3" hidden="1">#REF!</definedName>
    <definedName name="BEx5P0TA3RZOHBKBI42FUH8H6HOM" localSheetId="11" hidden="1">#REF!</definedName>
    <definedName name="BEx5P0TA3RZOHBKBI42FUH8H6HOM" localSheetId="4" hidden="1">#REF!</definedName>
    <definedName name="BEx5P0TA3RZOHBKBI42FUH8H6HOM" localSheetId="1" hidden="1">#REF!</definedName>
    <definedName name="BEx5P0TA3RZOHBKBI42FUH8H6HOM" localSheetId="6" hidden="1">#REF!</definedName>
    <definedName name="BEx5P0TA3RZOHBKBI42FUH8H6HOM" localSheetId="7" hidden="1">#REF!</definedName>
    <definedName name="BEx5P0TA3RZOHBKBI42FUH8H6HOM" localSheetId="8" hidden="1">#REF!</definedName>
    <definedName name="BEx5P0TA3RZOHBKBI42FUH8H6HOM" hidden="1">#REF!</definedName>
    <definedName name="BEx77HZBNL96X5FR5RHD99BTP5BS" localSheetId="5" hidden="1">#REF!</definedName>
    <definedName name="BEx77HZBNL96X5FR5RHD99BTP5BS" localSheetId="2" hidden="1">#REF!</definedName>
    <definedName name="BEx77HZBNL96X5FR5RHD99BTP5BS" localSheetId="3" hidden="1">#REF!</definedName>
    <definedName name="BEx77HZBNL96X5FR5RHD99BTP5BS" localSheetId="4" hidden="1">#REF!</definedName>
    <definedName name="BEx77HZBNL96X5FR5RHD99BTP5BS" localSheetId="1" hidden="1">#REF!</definedName>
    <definedName name="BEx77HZBNL96X5FR5RHD99BTP5BS" localSheetId="6" hidden="1">#REF!</definedName>
    <definedName name="BEx77HZBNL96X5FR5RHD99BTP5BS" localSheetId="7" hidden="1">#REF!</definedName>
    <definedName name="BEx77HZBNL96X5FR5RHD99BTP5BS" localSheetId="8" hidden="1">#REF!</definedName>
    <definedName name="BEx77HZBNL96X5FR5RHD99BTP5BS" hidden="1">#REF!</definedName>
    <definedName name="BEx7D5H4JWLLS30IZ5EPJDXEBXJH" localSheetId="5" hidden="1">'[1]categor actual'!#REF!</definedName>
    <definedName name="BEx7D5H4JWLLS30IZ5EPJDXEBXJH" localSheetId="2" hidden="1">'[1]categor actual'!#REF!</definedName>
    <definedName name="BEx7D5H4JWLLS30IZ5EPJDXEBXJH" localSheetId="3" hidden="1">'[1]categor actual'!#REF!</definedName>
    <definedName name="BEx7D5H4JWLLS30IZ5EPJDXEBXJH" localSheetId="11" hidden="1">'[1]categor actual'!#REF!</definedName>
    <definedName name="BEx7D5H4JWLLS30IZ5EPJDXEBXJH" localSheetId="4" hidden="1">'[1]categor actual'!#REF!</definedName>
    <definedName name="BEx7D5H4JWLLS30IZ5EPJDXEBXJH" localSheetId="1" hidden="1">'[1]categor actual'!#REF!</definedName>
    <definedName name="BEx7D5H4JWLLS30IZ5EPJDXEBXJH" localSheetId="6" hidden="1">'[1]categor actual'!#REF!</definedName>
    <definedName name="BEx7D5H4JWLLS30IZ5EPJDXEBXJH" localSheetId="7" hidden="1">'[1]categor actual'!#REF!</definedName>
    <definedName name="BEx7D5H4JWLLS30IZ5EPJDXEBXJH" localSheetId="8" hidden="1">'[1]categor actual'!#REF!</definedName>
    <definedName name="BEx7D5H4JWLLS30IZ5EPJDXEBXJH" hidden="1">'[1]categor actual'!#REF!</definedName>
    <definedName name="BEx920D83SFFEEVLHV7GD7SPNE6G" localSheetId="5" hidden="1">#REF!</definedName>
    <definedName name="BEx920D83SFFEEVLHV7GD7SPNE6G" localSheetId="2" hidden="1">#REF!</definedName>
    <definedName name="BEx920D83SFFEEVLHV7GD7SPNE6G" localSheetId="3" hidden="1">#REF!</definedName>
    <definedName name="BEx920D83SFFEEVLHV7GD7SPNE6G" localSheetId="11" hidden="1">#REF!</definedName>
    <definedName name="BEx920D83SFFEEVLHV7GD7SPNE6G" localSheetId="4" hidden="1">#REF!</definedName>
    <definedName name="BEx920D83SFFEEVLHV7GD7SPNE6G" localSheetId="1" hidden="1">#REF!</definedName>
    <definedName name="BEx920D83SFFEEVLHV7GD7SPNE6G" localSheetId="6" hidden="1">#REF!</definedName>
    <definedName name="BEx920D83SFFEEVLHV7GD7SPNE6G" localSheetId="7" hidden="1">#REF!</definedName>
    <definedName name="BEx920D83SFFEEVLHV7GD7SPNE6G" localSheetId="8" hidden="1">#REF!</definedName>
    <definedName name="BEx920D83SFFEEVLHV7GD7SPNE6G" hidden="1">#REF!</definedName>
    <definedName name="BEx9F6XUATT7DBAKTZ5GDZO0ZDUZ" localSheetId="5" hidden="1">#REF!</definedName>
    <definedName name="BEx9F6XUATT7DBAKTZ5GDZO0ZDUZ" localSheetId="2" hidden="1">#REF!</definedName>
    <definedName name="BEx9F6XUATT7DBAKTZ5GDZO0ZDUZ" localSheetId="3" hidden="1">#REF!</definedName>
    <definedName name="BEx9F6XUATT7DBAKTZ5GDZO0ZDUZ" localSheetId="4" hidden="1">#REF!</definedName>
    <definedName name="BEx9F6XUATT7DBAKTZ5GDZO0ZDUZ" localSheetId="1" hidden="1">#REF!</definedName>
    <definedName name="BEx9F6XUATT7DBAKTZ5GDZO0ZDUZ" localSheetId="6" hidden="1">#REF!</definedName>
    <definedName name="BEx9F6XUATT7DBAKTZ5GDZO0ZDUZ" localSheetId="7" hidden="1">#REF!</definedName>
    <definedName name="BEx9F6XUATT7DBAKTZ5GDZO0ZDUZ" localSheetId="8" hidden="1">#REF!</definedName>
    <definedName name="BEx9F6XUATT7DBAKTZ5GDZO0ZDUZ" hidden="1">#REF!</definedName>
    <definedName name="BEx9I56QFF6MIR3ZMK8CWHT6OPBG" localSheetId="5" hidden="1">'[1]categor actual'!#REF!</definedName>
    <definedName name="BEx9I56QFF6MIR3ZMK8CWHT6OPBG" localSheetId="2" hidden="1">'[1]categor actual'!#REF!</definedName>
    <definedName name="BEx9I56QFF6MIR3ZMK8CWHT6OPBG" localSheetId="3" hidden="1">'[1]categor actual'!#REF!</definedName>
    <definedName name="BEx9I56QFF6MIR3ZMK8CWHT6OPBG" localSheetId="11" hidden="1">'[1]categor actual'!#REF!</definedName>
    <definedName name="BEx9I56QFF6MIR3ZMK8CWHT6OPBG" localSheetId="4" hidden="1">'[1]categor actual'!#REF!</definedName>
    <definedName name="BEx9I56QFF6MIR3ZMK8CWHT6OPBG" localSheetId="1" hidden="1">'[1]categor actual'!#REF!</definedName>
    <definedName name="BEx9I56QFF6MIR3ZMK8CWHT6OPBG" localSheetId="6" hidden="1">'[1]categor actual'!#REF!</definedName>
    <definedName name="BEx9I56QFF6MIR3ZMK8CWHT6OPBG" localSheetId="7" hidden="1">'[1]categor actual'!#REF!</definedName>
    <definedName name="BEx9I56QFF6MIR3ZMK8CWHT6OPBG" localSheetId="8" hidden="1">'[1]categor actual'!#REF!</definedName>
    <definedName name="BEx9I56QFF6MIR3ZMK8CWHT6OPBG" hidden="1">'[1]categor actual'!#REF!</definedName>
    <definedName name="BExAZEAOER6H8XOD7WJLY3CLWWBM" localSheetId="5" hidden="1">#REF!</definedName>
    <definedName name="BExAZEAOER6H8XOD7WJLY3CLWWBM" localSheetId="2" hidden="1">#REF!</definedName>
    <definedName name="BExAZEAOER6H8XOD7WJLY3CLWWBM" localSheetId="3" hidden="1">#REF!</definedName>
    <definedName name="BExAZEAOER6H8XOD7WJLY3CLWWBM" localSheetId="11" hidden="1">#REF!</definedName>
    <definedName name="BExAZEAOER6H8XOD7WJLY3CLWWBM" localSheetId="4" hidden="1">#REF!</definedName>
    <definedName name="BExAZEAOER6H8XOD7WJLY3CLWWBM" localSheetId="1" hidden="1">#REF!</definedName>
    <definedName name="BExAZEAOER6H8XOD7WJLY3CLWWBM" localSheetId="6" hidden="1">#REF!</definedName>
    <definedName name="BExAZEAOER6H8XOD7WJLY3CLWWBM" localSheetId="7" hidden="1">#REF!</definedName>
    <definedName name="BExAZEAOER6H8XOD7WJLY3CLWWBM" localSheetId="8" hidden="1">#REF!</definedName>
    <definedName name="BExAZEAOER6H8XOD7WJLY3CLWWBM" hidden="1">#REF!</definedName>
    <definedName name="BExD1DNW46XROJ9PWLYCODPSSVYA" localSheetId="5" hidden="1">#REF!</definedName>
    <definedName name="BExD1DNW46XROJ9PWLYCODPSSVYA" localSheetId="2" hidden="1">#REF!</definedName>
    <definedName name="BExD1DNW46XROJ9PWLYCODPSSVYA" localSheetId="3" hidden="1">#REF!</definedName>
    <definedName name="BExD1DNW46XROJ9PWLYCODPSSVYA" localSheetId="4" hidden="1">#REF!</definedName>
    <definedName name="BExD1DNW46XROJ9PWLYCODPSSVYA" localSheetId="1" hidden="1">#REF!</definedName>
    <definedName name="BExD1DNW46XROJ9PWLYCODPSSVYA" localSheetId="6" hidden="1">#REF!</definedName>
    <definedName name="BExD1DNW46XROJ9PWLYCODPSSVYA" localSheetId="7" hidden="1">#REF!</definedName>
    <definedName name="BExD1DNW46XROJ9PWLYCODPSSVYA" localSheetId="8" hidden="1">#REF!</definedName>
    <definedName name="BExD1DNW46XROJ9PWLYCODPSSVYA" hidden="1">#REF!</definedName>
    <definedName name="BExD1SY4UJKP3WVJ3GZBWUKQQMW6" localSheetId="5" hidden="1">#REF!</definedName>
    <definedName name="BExD1SY4UJKP3WVJ3GZBWUKQQMW6" localSheetId="2" hidden="1">#REF!</definedName>
    <definedName name="BExD1SY4UJKP3WVJ3GZBWUKQQMW6" localSheetId="3" hidden="1">#REF!</definedName>
    <definedName name="BExD1SY4UJKP3WVJ3GZBWUKQQMW6" localSheetId="4" hidden="1">#REF!</definedName>
    <definedName name="BExD1SY4UJKP3WVJ3GZBWUKQQMW6" localSheetId="1" hidden="1">#REF!</definedName>
    <definedName name="BExD1SY4UJKP3WVJ3GZBWUKQQMW6" localSheetId="6" hidden="1">#REF!</definedName>
    <definedName name="BExD1SY4UJKP3WVJ3GZBWUKQQMW6" localSheetId="7" hidden="1">#REF!</definedName>
    <definedName name="BExD1SY4UJKP3WVJ3GZBWUKQQMW6" localSheetId="8" hidden="1">#REF!</definedName>
    <definedName name="BExD1SY4UJKP3WVJ3GZBWUKQQMW6" hidden="1">#REF!</definedName>
    <definedName name="BExD85GUBP2EH8XCE5K6T7ZCMYKS" localSheetId="5" hidden="1">#REF!</definedName>
    <definedName name="BExD85GUBP2EH8XCE5K6T7ZCMYKS" localSheetId="2" hidden="1">#REF!</definedName>
    <definedName name="BExD85GUBP2EH8XCE5K6T7ZCMYKS" localSheetId="3" hidden="1">#REF!</definedName>
    <definedName name="BExD85GUBP2EH8XCE5K6T7ZCMYKS" localSheetId="4" hidden="1">#REF!</definedName>
    <definedName name="BExD85GUBP2EH8XCE5K6T7ZCMYKS" localSheetId="1" hidden="1">#REF!</definedName>
    <definedName name="BExD85GUBP2EH8XCE5K6T7ZCMYKS" localSheetId="6" hidden="1">#REF!</definedName>
    <definedName name="BExD85GUBP2EH8XCE5K6T7ZCMYKS" localSheetId="7" hidden="1">#REF!</definedName>
    <definedName name="BExD85GUBP2EH8XCE5K6T7ZCMYKS" localSheetId="8" hidden="1">#REF!</definedName>
    <definedName name="BExD85GUBP2EH8XCE5K6T7ZCMYKS" hidden="1">#REF!</definedName>
    <definedName name="BExEOZWAXJD3HPYOAFPDRLJ8JAMK" localSheetId="5" hidden="1">#REF!</definedName>
    <definedName name="BExEOZWAXJD3HPYOAFPDRLJ8JAMK" localSheetId="2" hidden="1">#REF!</definedName>
    <definedName name="BExEOZWAXJD3HPYOAFPDRLJ8JAMK" localSheetId="3" hidden="1">#REF!</definedName>
    <definedName name="BExEOZWAXJD3HPYOAFPDRLJ8JAMK" localSheetId="4" hidden="1">#REF!</definedName>
    <definedName name="BExEOZWAXJD3HPYOAFPDRLJ8JAMK" localSheetId="1" hidden="1">#REF!</definedName>
    <definedName name="BExEOZWAXJD3HPYOAFPDRLJ8JAMK" localSheetId="6" hidden="1">#REF!</definedName>
    <definedName name="BExEOZWAXJD3HPYOAFPDRLJ8JAMK" localSheetId="7" hidden="1">#REF!</definedName>
    <definedName name="BExEOZWAXJD3HPYOAFPDRLJ8JAMK" localSheetId="8" hidden="1">#REF!</definedName>
    <definedName name="BExEOZWAXJD3HPYOAFPDRLJ8JAMK" hidden="1">#REF!</definedName>
    <definedName name="BExERM01P1N6SAABKBUTHS0XV93C" localSheetId="5" hidden="1">#REF!</definedName>
    <definedName name="BExERM01P1N6SAABKBUTHS0XV93C" localSheetId="2" hidden="1">#REF!</definedName>
    <definedName name="BExERM01P1N6SAABKBUTHS0XV93C" localSheetId="3" hidden="1">#REF!</definedName>
    <definedName name="BExERM01P1N6SAABKBUTHS0XV93C" localSheetId="4" hidden="1">#REF!</definedName>
    <definedName name="BExERM01P1N6SAABKBUTHS0XV93C" localSheetId="1" hidden="1">#REF!</definedName>
    <definedName name="BExERM01P1N6SAABKBUTHS0XV93C" localSheetId="6" hidden="1">#REF!</definedName>
    <definedName name="BExERM01P1N6SAABKBUTHS0XV93C" localSheetId="7" hidden="1">#REF!</definedName>
    <definedName name="BExERM01P1N6SAABKBUTHS0XV93C" localSheetId="8" hidden="1">#REF!</definedName>
    <definedName name="BExERM01P1N6SAABKBUTHS0XV93C" hidden="1">#REF!</definedName>
    <definedName name="BExETEACPSJCU8UMET2KV69GQR5S" localSheetId="5" hidden="1">#REF!</definedName>
    <definedName name="BExETEACPSJCU8UMET2KV69GQR5S" localSheetId="2" hidden="1">#REF!</definedName>
    <definedName name="BExETEACPSJCU8UMET2KV69GQR5S" localSheetId="3" hidden="1">#REF!</definedName>
    <definedName name="BExETEACPSJCU8UMET2KV69GQR5S" localSheetId="4" hidden="1">#REF!</definedName>
    <definedName name="BExETEACPSJCU8UMET2KV69GQR5S" localSheetId="1" hidden="1">#REF!</definedName>
    <definedName name="BExETEACPSJCU8UMET2KV69GQR5S" localSheetId="6" hidden="1">#REF!</definedName>
    <definedName name="BExETEACPSJCU8UMET2KV69GQR5S" localSheetId="7" hidden="1">#REF!</definedName>
    <definedName name="BExETEACPSJCU8UMET2KV69GQR5S" localSheetId="8" hidden="1">#REF!</definedName>
    <definedName name="BExETEACPSJCU8UMET2KV69GQR5S" hidden="1">#REF!</definedName>
    <definedName name="BExEUYHCKNB7BPQQSXSI4BRLQF4E" localSheetId="5" hidden="1">#REF!</definedName>
    <definedName name="BExEUYHCKNB7BPQQSXSI4BRLQF4E" localSheetId="2" hidden="1">#REF!</definedName>
    <definedName name="BExEUYHCKNB7BPQQSXSI4BRLQF4E" localSheetId="3" hidden="1">#REF!</definedName>
    <definedName name="BExEUYHCKNB7BPQQSXSI4BRLQF4E" localSheetId="4" hidden="1">#REF!</definedName>
    <definedName name="BExEUYHCKNB7BPQQSXSI4BRLQF4E" localSheetId="1" hidden="1">#REF!</definedName>
    <definedName name="BExEUYHCKNB7BPQQSXSI4BRLQF4E" localSheetId="6" hidden="1">#REF!</definedName>
    <definedName name="BExEUYHCKNB7BPQQSXSI4BRLQF4E" localSheetId="7" hidden="1">#REF!</definedName>
    <definedName name="BExEUYHCKNB7BPQQSXSI4BRLQF4E" localSheetId="8" hidden="1">#REF!</definedName>
    <definedName name="BExEUYHCKNB7BPQQSXSI4BRLQF4E" hidden="1">#REF!</definedName>
    <definedName name="BExF5PUDUV7N7IKYTEZVVIOVH7R3" localSheetId="5" hidden="1">#REF!</definedName>
    <definedName name="BExF5PUDUV7N7IKYTEZVVIOVH7R3" localSheetId="2" hidden="1">#REF!</definedName>
    <definedName name="BExF5PUDUV7N7IKYTEZVVIOVH7R3" localSheetId="3" hidden="1">#REF!</definedName>
    <definedName name="BExF5PUDUV7N7IKYTEZVVIOVH7R3" localSheetId="4" hidden="1">#REF!</definedName>
    <definedName name="BExF5PUDUV7N7IKYTEZVVIOVH7R3" localSheetId="1" hidden="1">#REF!</definedName>
    <definedName name="BExF5PUDUV7N7IKYTEZVVIOVH7R3" localSheetId="6" hidden="1">#REF!</definedName>
    <definedName name="BExF5PUDUV7N7IKYTEZVVIOVH7R3" localSheetId="7" hidden="1">#REF!</definedName>
    <definedName name="BExF5PUDUV7N7IKYTEZVVIOVH7R3" localSheetId="8" hidden="1">#REF!</definedName>
    <definedName name="BExF5PUDUV7N7IKYTEZVVIOVH7R3" hidden="1">#REF!</definedName>
    <definedName name="BExF7QYW2KJSB18L0EOUZK3I2GWB" localSheetId="5" hidden="1">#REF!</definedName>
    <definedName name="BExF7QYW2KJSB18L0EOUZK3I2GWB" localSheetId="2" hidden="1">#REF!</definedName>
    <definedName name="BExF7QYW2KJSB18L0EOUZK3I2GWB" localSheetId="3" hidden="1">#REF!</definedName>
    <definedName name="BExF7QYW2KJSB18L0EOUZK3I2GWB" localSheetId="4" hidden="1">#REF!</definedName>
    <definedName name="BExF7QYW2KJSB18L0EOUZK3I2GWB" localSheetId="1" hidden="1">#REF!</definedName>
    <definedName name="BExF7QYW2KJSB18L0EOUZK3I2GWB" localSheetId="6" hidden="1">#REF!</definedName>
    <definedName name="BExF7QYW2KJSB18L0EOUZK3I2GWB" localSheetId="7" hidden="1">#REF!</definedName>
    <definedName name="BExF7QYW2KJSB18L0EOUZK3I2GWB" localSheetId="8" hidden="1">#REF!</definedName>
    <definedName name="BExF7QYW2KJSB18L0EOUZK3I2GWB" hidden="1">#REF!</definedName>
    <definedName name="BExGKN1EXYT9OHS4GVQQN0B22QJD" localSheetId="5" hidden="1">#REF!</definedName>
    <definedName name="BExGKN1EXYT9OHS4GVQQN0B22QJD" localSheetId="2" hidden="1">#REF!</definedName>
    <definedName name="BExGKN1EXYT9OHS4GVQQN0B22QJD" localSheetId="3" hidden="1">#REF!</definedName>
    <definedName name="BExGKN1EXYT9OHS4GVQQN0B22QJD" localSheetId="4" hidden="1">#REF!</definedName>
    <definedName name="BExGKN1EXYT9OHS4GVQQN0B22QJD" localSheetId="1" hidden="1">#REF!</definedName>
    <definedName name="BExGKN1EXYT9OHS4GVQQN0B22QJD" localSheetId="6" hidden="1">#REF!</definedName>
    <definedName name="BExGKN1EXYT9OHS4GVQQN0B22QJD" localSheetId="7" hidden="1">#REF!</definedName>
    <definedName name="BExGKN1EXYT9OHS4GVQQN0B22QJD" localSheetId="8" hidden="1">#REF!</definedName>
    <definedName name="BExGKN1EXYT9OHS4GVQQN0B22QJD" hidden="1">#REF!</definedName>
    <definedName name="BExGVLLEN5N1GD0F7BN6Q2GED3FD" localSheetId="5" hidden="1">#REF!</definedName>
    <definedName name="BExGVLLEN5N1GD0F7BN6Q2GED3FD" localSheetId="2" hidden="1">#REF!</definedName>
    <definedName name="BExGVLLEN5N1GD0F7BN6Q2GED3FD" localSheetId="3" hidden="1">#REF!</definedName>
    <definedName name="BExGVLLEN5N1GD0F7BN6Q2GED3FD" localSheetId="4" hidden="1">#REF!</definedName>
    <definedName name="BExGVLLEN5N1GD0F7BN6Q2GED3FD" localSheetId="1" hidden="1">#REF!</definedName>
    <definedName name="BExGVLLEN5N1GD0F7BN6Q2GED3FD" localSheetId="6" hidden="1">#REF!</definedName>
    <definedName name="BExGVLLEN5N1GD0F7BN6Q2GED3FD" localSheetId="7" hidden="1">#REF!</definedName>
    <definedName name="BExGVLLEN5N1GD0F7BN6Q2GED3FD" localSheetId="8" hidden="1">#REF!</definedName>
    <definedName name="BExGVLLEN5N1GD0F7BN6Q2GED3FD" hidden="1">#REF!</definedName>
    <definedName name="BExIIERCBVLUJ6MXE3TJJDESJGWT" localSheetId="5" hidden="1">#REF!</definedName>
    <definedName name="BExIIERCBVLUJ6MXE3TJJDESJGWT" localSheetId="2" hidden="1">#REF!</definedName>
    <definedName name="BExIIERCBVLUJ6MXE3TJJDESJGWT" localSheetId="3" hidden="1">#REF!</definedName>
    <definedName name="BExIIERCBVLUJ6MXE3TJJDESJGWT" localSheetId="4" hidden="1">#REF!</definedName>
    <definedName name="BExIIERCBVLUJ6MXE3TJJDESJGWT" localSheetId="1" hidden="1">#REF!</definedName>
    <definedName name="BExIIERCBVLUJ6MXE3TJJDESJGWT" localSheetId="6" hidden="1">#REF!</definedName>
    <definedName name="BExIIERCBVLUJ6MXE3TJJDESJGWT" localSheetId="7" hidden="1">#REF!</definedName>
    <definedName name="BExIIERCBVLUJ6MXE3TJJDESJGWT" localSheetId="8" hidden="1">#REF!</definedName>
    <definedName name="BExIIERCBVLUJ6MXE3TJJDESJGWT" hidden="1">#REF!</definedName>
    <definedName name="BExIL4GMK5XCSP4RMLA2K85TTKWB" localSheetId="5" hidden="1">#REF!</definedName>
    <definedName name="BExIL4GMK5XCSP4RMLA2K85TTKWB" localSheetId="2" hidden="1">#REF!</definedName>
    <definedName name="BExIL4GMK5XCSP4RMLA2K85TTKWB" localSheetId="3" hidden="1">#REF!</definedName>
    <definedName name="BExIL4GMK5XCSP4RMLA2K85TTKWB" localSheetId="4" hidden="1">#REF!</definedName>
    <definedName name="BExIL4GMK5XCSP4RMLA2K85TTKWB" localSheetId="1" hidden="1">#REF!</definedName>
    <definedName name="BExIL4GMK5XCSP4RMLA2K85TTKWB" localSheetId="6" hidden="1">#REF!</definedName>
    <definedName name="BExIL4GMK5XCSP4RMLA2K85TTKWB" localSheetId="7" hidden="1">#REF!</definedName>
    <definedName name="BExIL4GMK5XCSP4RMLA2K85TTKWB" localSheetId="8" hidden="1">#REF!</definedName>
    <definedName name="BExIL4GMK5XCSP4RMLA2K85TTKWB" hidden="1">#REF!</definedName>
    <definedName name="BExINTEU0BDOLUXCZILC28179RX9" localSheetId="5" hidden="1">#REF!</definedName>
    <definedName name="BExINTEU0BDOLUXCZILC28179RX9" localSheetId="2" hidden="1">#REF!</definedName>
    <definedName name="BExINTEU0BDOLUXCZILC28179RX9" localSheetId="3" hidden="1">#REF!</definedName>
    <definedName name="BExINTEU0BDOLUXCZILC28179RX9" localSheetId="4" hidden="1">#REF!</definedName>
    <definedName name="BExINTEU0BDOLUXCZILC28179RX9" localSheetId="1" hidden="1">#REF!</definedName>
    <definedName name="BExINTEU0BDOLUXCZILC28179RX9" localSheetId="6" hidden="1">#REF!</definedName>
    <definedName name="BExINTEU0BDOLUXCZILC28179RX9" localSheetId="7" hidden="1">#REF!</definedName>
    <definedName name="BExINTEU0BDOLUXCZILC28179RX9" localSheetId="8" hidden="1">#REF!</definedName>
    <definedName name="BExINTEU0BDOLUXCZILC28179RX9" hidden="1">#REF!</definedName>
    <definedName name="BExIX3VLDEBLB9X6LKADUOA6UNHW" localSheetId="5" hidden="1">#REF!</definedName>
    <definedName name="BExIX3VLDEBLB9X6LKADUOA6UNHW" localSheetId="2" hidden="1">#REF!</definedName>
    <definedName name="BExIX3VLDEBLB9X6LKADUOA6UNHW" localSheetId="3" hidden="1">#REF!</definedName>
    <definedName name="BExIX3VLDEBLB9X6LKADUOA6UNHW" localSheetId="4" hidden="1">#REF!</definedName>
    <definedName name="BExIX3VLDEBLB9X6LKADUOA6UNHW" localSheetId="1" hidden="1">#REF!</definedName>
    <definedName name="BExIX3VLDEBLB9X6LKADUOA6UNHW" localSheetId="6" hidden="1">#REF!</definedName>
    <definedName name="BExIX3VLDEBLB9X6LKADUOA6UNHW" localSheetId="7" hidden="1">#REF!</definedName>
    <definedName name="BExIX3VLDEBLB9X6LKADUOA6UNHW" localSheetId="8" hidden="1">#REF!</definedName>
    <definedName name="BExIX3VLDEBLB9X6LKADUOA6UNHW" hidden="1">#REF!</definedName>
    <definedName name="BExIZZFBJ8CET9BONGA7YLO8F575" localSheetId="5" hidden="1">#REF!</definedName>
    <definedName name="BExIZZFBJ8CET9BONGA7YLO8F575" localSheetId="2" hidden="1">#REF!</definedName>
    <definedName name="BExIZZFBJ8CET9BONGA7YLO8F575" localSheetId="3" hidden="1">#REF!</definedName>
    <definedName name="BExIZZFBJ8CET9BONGA7YLO8F575" localSheetId="4" hidden="1">#REF!</definedName>
    <definedName name="BExIZZFBJ8CET9BONGA7YLO8F575" localSheetId="1" hidden="1">#REF!</definedName>
    <definedName name="BExIZZFBJ8CET9BONGA7YLO8F575" localSheetId="6" hidden="1">#REF!</definedName>
    <definedName name="BExIZZFBJ8CET9BONGA7YLO8F575" localSheetId="7" hidden="1">#REF!</definedName>
    <definedName name="BExIZZFBJ8CET9BONGA7YLO8F575" localSheetId="8" hidden="1">#REF!</definedName>
    <definedName name="BExIZZFBJ8CET9BONGA7YLO8F575" hidden="1">#REF!</definedName>
    <definedName name="BExKEFJBNZK0KULNGU07YNYOLC3U" localSheetId="5" hidden="1">#REF!</definedName>
    <definedName name="BExKEFJBNZK0KULNGU07YNYOLC3U" localSheetId="2" hidden="1">#REF!</definedName>
    <definedName name="BExKEFJBNZK0KULNGU07YNYOLC3U" localSheetId="3" hidden="1">#REF!</definedName>
    <definedName name="BExKEFJBNZK0KULNGU07YNYOLC3U" localSheetId="4" hidden="1">#REF!</definedName>
    <definedName name="BExKEFJBNZK0KULNGU07YNYOLC3U" localSheetId="1" hidden="1">#REF!</definedName>
    <definedName name="BExKEFJBNZK0KULNGU07YNYOLC3U" localSheetId="6" hidden="1">#REF!</definedName>
    <definedName name="BExKEFJBNZK0KULNGU07YNYOLC3U" localSheetId="7" hidden="1">#REF!</definedName>
    <definedName name="BExKEFJBNZK0KULNGU07YNYOLC3U" localSheetId="8" hidden="1">#REF!</definedName>
    <definedName name="BExKEFJBNZK0KULNGU07YNYOLC3U" hidden="1">#REF!</definedName>
    <definedName name="BExKIGLCJ7AABFO66BIM55W0DYO8" localSheetId="5" hidden="1">#REF!</definedName>
    <definedName name="BExKIGLCJ7AABFO66BIM55W0DYO8" localSheetId="2" hidden="1">#REF!</definedName>
    <definedName name="BExKIGLCJ7AABFO66BIM55W0DYO8" localSheetId="3" hidden="1">#REF!</definedName>
    <definedName name="BExKIGLCJ7AABFO66BIM55W0DYO8" localSheetId="4" hidden="1">#REF!</definedName>
    <definedName name="BExKIGLCJ7AABFO66BIM55W0DYO8" localSheetId="1" hidden="1">#REF!</definedName>
    <definedName name="BExKIGLCJ7AABFO66BIM55W0DYO8" localSheetId="6" hidden="1">#REF!</definedName>
    <definedName name="BExKIGLCJ7AABFO66BIM55W0DYO8" localSheetId="7" hidden="1">#REF!</definedName>
    <definedName name="BExKIGLCJ7AABFO66BIM55W0DYO8" localSheetId="8" hidden="1">#REF!</definedName>
    <definedName name="BExKIGLCJ7AABFO66BIM55W0DYO8" hidden="1">#REF!</definedName>
    <definedName name="BExKNNWKLI350OVST7KZ3F6NI9R7" localSheetId="5" hidden="1">'[1]categor actual'!#REF!</definedName>
    <definedName name="BExKNNWKLI350OVST7KZ3F6NI9R7" localSheetId="2" hidden="1">'[1]categor actual'!#REF!</definedName>
    <definedName name="BExKNNWKLI350OVST7KZ3F6NI9R7" localSheetId="3" hidden="1">'[1]categor actual'!#REF!</definedName>
    <definedName name="BExKNNWKLI350OVST7KZ3F6NI9R7" localSheetId="11" hidden="1">'[1]categor actual'!#REF!</definedName>
    <definedName name="BExKNNWKLI350OVST7KZ3F6NI9R7" localSheetId="4" hidden="1">'[1]categor actual'!#REF!</definedName>
    <definedName name="BExKNNWKLI350OVST7KZ3F6NI9R7" localSheetId="1" hidden="1">'[1]categor actual'!#REF!</definedName>
    <definedName name="BExKNNWKLI350OVST7KZ3F6NI9R7" localSheetId="6" hidden="1">'[1]categor actual'!#REF!</definedName>
    <definedName name="BExKNNWKLI350OVST7KZ3F6NI9R7" localSheetId="7" hidden="1">'[1]categor actual'!#REF!</definedName>
    <definedName name="BExKNNWKLI350OVST7KZ3F6NI9R7" localSheetId="8" hidden="1">'[1]categor actual'!#REF!</definedName>
    <definedName name="BExKNNWKLI350OVST7KZ3F6NI9R7" hidden="1">'[1]categor actual'!#REF!</definedName>
    <definedName name="BExKS73B2R3F4NSE25N6YHV86DYZ" localSheetId="5" hidden="1">#REF!</definedName>
    <definedName name="BExKS73B2R3F4NSE25N6YHV86DYZ" localSheetId="2" hidden="1">#REF!</definedName>
    <definedName name="BExKS73B2R3F4NSE25N6YHV86DYZ" localSheetId="3" hidden="1">#REF!</definedName>
    <definedName name="BExKS73B2R3F4NSE25N6YHV86DYZ" localSheetId="11" hidden="1">#REF!</definedName>
    <definedName name="BExKS73B2R3F4NSE25N6YHV86DYZ" localSheetId="4" hidden="1">#REF!</definedName>
    <definedName name="BExKS73B2R3F4NSE25N6YHV86DYZ" localSheetId="1" hidden="1">#REF!</definedName>
    <definedName name="BExKS73B2R3F4NSE25N6YHV86DYZ" localSheetId="6" hidden="1">#REF!</definedName>
    <definedName name="BExKS73B2R3F4NSE25N6YHV86DYZ" localSheetId="7" hidden="1">#REF!</definedName>
    <definedName name="BExKS73B2R3F4NSE25N6YHV86DYZ" localSheetId="8" hidden="1">#REF!</definedName>
    <definedName name="BExKS73B2R3F4NSE25N6YHV86DYZ" hidden="1">#REF!</definedName>
    <definedName name="BExKUKSZH5RZWHO0Q6FF3M33E53Y" localSheetId="5" hidden="1">#REF!</definedName>
    <definedName name="BExKUKSZH5RZWHO0Q6FF3M33E53Y" localSheetId="2" hidden="1">#REF!</definedName>
    <definedName name="BExKUKSZH5RZWHO0Q6FF3M33E53Y" localSheetId="3" hidden="1">#REF!</definedName>
    <definedName name="BExKUKSZH5RZWHO0Q6FF3M33E53Y" localSheetId="4" hidden="1">#REF!</definedName>
    <definedName name="BExKUKSZH5RZWHO0Q6FF3M33E53Y" localSheetId="1" hidden="1">#REF!</definedName>
    <definedName name="BExKUKSZH5RZWHO0Q6FF3M33E53Y" localSheetId="6" hidden="1">#REF!</definedName>
    <definedName name="BExKUKSZH5RZWHO0Q6FF3M33E53Y" localSheetId="7" hidden="1">#REF!</definedName>
    <definedName name="BExKUKSZH5RZWHO0Q6FF3M33E53Y" localSheetId="8" hidden="1">#REF!</definedName>
    <definedName name="BExKUKSZH5RZWHO0Q6FF3M33E53Y" hidden="1">#REF!</definedName>
    <definedName name="BExMA6FF8V38PNS11EWZRWUZE2T6" localSheetId="5" hidden="1">'[1]categor actual'!#REF!</definedName>
    <definedName name="BExMA6FF8V38PNS11EWZRWUZE2T6" localSheetId="2" hidden="1">'[1]categor actual'!#REF!</definedName>
    <definedName name="BExMA6FF8V38PNS11EWZRWUZE2T6" localSheetId="3" hidden="1">'[1]categor actual'!#REF!</definedName>
    <definedName name="BExMA6FF8V38PNS11EWZRWUZE2T6" localSheetId="11" hidden="1">'[1]categor actual'!#REF!</definedName>
    <definedName name="BExMA6FF8V38PNS11EWZRWUZE2T6" localSheetId="4" hidden="1">'[1]categor actual'!#REF!</definedName>
    <definedName name="BExMA6FF8V38PNS11EWZRWUZE2T6" localSheetId="1" hidden="1">'[1]categor actual'!#REF!</definedName>
    <definedName name="BExMA6FF8V38PNS11EWZRWUZE2T6" localSheetId="6" hidden="1">'[1]categor actual'!#REF!</definedName>
    <definedName name="BExMA6FF8V38PNS11EWZRWUZE2T6" localSheetId="7" hidden="1">'[1]categor actual'!#REF!</definedName>
    <definedName name="BExMA6FF8V38PNS11EWZRWUZE2T6" localSheetId="8" hidden="1">'[1]categor actual'!#REF!</definedName>
    <definedName name="BExMA6FF8V38PNS11EWZRWUZE2T6" hidden="1">'[1]categor actual'!#REF!</definedName>
    <definedName name="BExMGLHW93XHIM0OQIQOUZ5FT1M7" localSheetId="5" hidden="1">#REF!</definedName>
    <definedName name="BExMGLHW93XHIM0OQIQOUZ5FT1M7" localSheetId="2" hidden="1">#REF!</definedName>
    <definedName name="BExMGLHW93XHIM0OQIQOUZ5FT1M7" localSheetId="3" hidden="1">#REF!</definedName>
    <definedName name="BExMGLHW93XHIM0OQIQOUZ5FT1M7" localSheetId="11" hidden="1">#REF!</definedName>
    <definedName name="BExMGLHW93XHIM0OQIQOUZ5FT1M7" localSheetId="4" hidden="1">#REF!</definedName>
    <definedName name="BExMGLHW93XHIM0OQIQOUZ5FT1M7" localSheetId="1" hidden="1">#REF!</definedName>
    <definedName name="BExMGLHW93XHIM0OQIQOUZ5FT1M7" localSheetId="6" hidden="1">#REF!</definedName>
    <definedName name="BExMGLHW93XHIM0OQIQOUZ5FT1M7" localSheetId="7" hidden="1">#REF!</definedName>
    <definedName name="BExMGLHW93XHIM0OQIQOUZ5FT1M7" localSheetId="8" hidden="1">#REF!</definedName>
    <definedName name="BExMGLHW93XHIM0OQIQOUZ5FT1M7" hidden="1">#REF!</definedName>
    <definedName name="BExMLGO8H1BQKN1U4DFWQN4FGY6B" localSheetId="5" hidden="1">'[1]categor actual'!#REF!</definedName>
    <definedName name="BExMLGO8H1BQKN1U4DFWQN4FGY6B" localSheetId="2" hidden="1">'[1]categor actual'!#REF!</definedName>
    <definedName name="BExMLGO8H1BQKN1U4DFWQN4FGY6B" localSheetId="3" hidden="1">'[1]categor actual'!#REF!</definedName>
    <definedName name="BExMLGO8H1BQKN1U4DFWQN4FGY6B" localSheetId="11" hidden="1">'[1]categor actual'!#REF!</definedName>
    <definedName name="BExMLGO8H1BQKN1U4DFWQN4FGY6B" localSheetId="4" hidden="1">'[1]categor actual'!#REF!</definedName>
    <definedName name="BExMLGO8H1BQKN1U4DFWQN4FGY6B" localSheetId="1" hidden="1">'[1]categor actual'!#REF!</definedName>
    <definedName name="BExMLGO8H1BQKN1U4DFWQN4FGY6B" localSheetId="6" hidden="1">'[1]categor actual'!#REF!</definedName>
    <definedName name="BExMLGO8H1BQKN1U4DFWQN4FGY6B" localSheetId="7" hidden="1">'[1]categor actual'!#REF!</definedName>
    <definedName name="BExMLGO8H1BQKN1U4DFWQN4FGY6B" localSheetId="8" hidden="1">'[1]categor actual'!#REF!</definedName>
    <definedName name="BExMLGO8H1BQKN1U4DFWQN4FGY6B" hidden="1">'[1]categor actual'!#REF!</definedName>
    <definedName name="BExMQ4CMRTBJP2VL56MI1OPXN5J3" localSheetId="5" hidden="1">#REF!</definedName>
    <definedName name="BExMQ4CMRTBJP2VL56MI1OPXN5J3" localSheetId="2" hidden="1">#REF!</definedName>
    <definedName name="BExMQ4CMRTBJP2VL56MI1OPXN5J3" localSheetId="3" hidden="1">#REF!</definedName>
    <definedName name="BExMQ4CMRTBJP2VL56MI1OPXN5J3" localSheetId="11" hidden="1">#REF!</definedName>
    <definedName name="BExMQ4CMRTBJP2VL56MI1OPXN5J3" localSheetId="4" hidden="1">#REF!</definedName>
    <definedName name="BExMQ4CMRTBJP2VL56MI1OPXN5J3" localSheetId="1" hidden="1">#REF!</definedName>
    <definedName name="BExMQ4CMRTBJP2VL56MI1OPXN5J3" localSheetId="6" hidden="1">#REF!</definedName>
    <definedName name="BExMQ4CMRTBJP2VL56MI1OPXN5J3" localSheetId="7" hidden="1">#REF!</definedName>
    <definedName name="BExMQ4CMRTBJP2VL56MI1OPXN5J3" localSheetId="8" hidden="1">#REF!</definedName>
    <definedName name="BExMQ4CMRTBJP2VL56MI1OPXN5J3" hidden="1">#REF!</definedName>
    <definedName name="BExMRRZRI8EVKB1WW3F7TOQM9HRD" localSheetId="5" hidden="1">'[1]categor actual'!#REF!</definedName>
    <definedName name="BExMRRZRI8EVKB1WW3F7TOQM9HRD" localSheetId="2" hidden="1">'[1]categor actual'!#REF!</definedName>
    <definedName name="BExMRRZRI8EVKB1WW3F7TOQM9HRD" localSheetId="3" hidden="1">'[1]categor actual'!#REF!</definedName>
    <definedName name="BExMRRZRI8EVKB1WW3F7TOQM9HRD" localSheetId="11" hidden="1">'[1]categor actual'!#REF!</definedName>
    <definedName name="BExMRRZRI8EVKB1WW3F7TOQM9HRD" localSheetId="4" hidden="1">'[1]categor actual'!#REF!</definedName>
    <definedName name="BExMRRZRI8EVKB1WW3F7TOQM9HRD" localSheetId="1" hidden="1">'[1]categor actual'!#REF!</definedName>
    <definedName name="BExMRRZRI8EVKB1WW3F7TOQM9HRD" localSheetId="6" hidden="1">'[1]categor actual'!#REF!</definedName>
    <definedName name="BExMRRZRI8EVKB1WW3F7TOQM9HRD" localSheetId="7" hidden="1">'[1]categor actual'!#REF!</definedName>
    <definedName name="BExMRRZRI8EVKB1WW3F7TOQM9HRD" localSheetId="8" hidden="1">'[1]categor actual'!#REF!</definedName>
    <definedName name="BExMRRZRI8EVKB1WW3F7TOQM9HRD" hidden="1">'[1]categor actual'!#REF!</definedName>
    <definedName name="BExOAX4YC8QXLIGJF33F9SN1DJD6" localSheetId="5" hidden="1">#REF!</definedName>
    <definedName name="BExOAX4YC8QXLIGJF33F9SN1DJD6" localSheetId="2" hidden="1">#REF!</definedName>
    <definedName name="BExOAX4YC8QXLIGJF33F9SN1DJD6" localSheetId="3" hidden="1">#REF!</definedName>
    <definedName name="BExOAX4YC8QXLIGJF33F9SN1DJD6" localSheetId="11" hidden="1">#REF!</definedName>
    <definedName name="BExOAX4YC8QXLIGJF33F9SN1DJD6" localSheetId="4" hidden="1">#REF!</definedName>
    <definedName name="BExOAX4YC8QXLIGJF33F9SN1DJD6" localSheetId="1" hidden="1">#REF!</definedName>
    <definedName name="BExOAX4YC8QXLIGJF33F9SN1DJD6" localSheetId="6" hidden="1">#REF!</definedName>
    <definedName name="BExOAX4YC8QXLIGJF33F9SN1DJD6" localSheetId="7" hidden="1">#REF!</definedName>
    <definedName name="BExOAX4YC8QXLIGJF33F9SN1DJD6" localSheetId="8" hidden="1">#REF!</definedName>
    <definedName name="BExOAX4YC8QXLIGJF33F9SN1DJD6" hidden="1">#REF!</definedName>
    <definedName name="BExOFKIR7GOWGGEE7J9L3VKDLIYO" localSheetId="5" hidden="1">#REF!</definedName>
    <definedName name="BExOFKIR7GOWGGEE7J9L3VKDLIYO" localSheetId="2" hidden="1">#REF!</definedName>
    <definedName name="BExOFKIR7GOWGGEE7J9L3VKDLIYO" localSheetId="3" hidden="1">#REF!</definedName>
    <definedName name="BExOFKIR7GOWGGEE7J9L3VKDLIYO" localSheetId="4" hidden="1">#REF!</definedName>
    <definedName name="BExOFKIR7GOWGGEE7J9L3VKDLIYO" localSheetId="1" hidden="1">#REF!</definedName>
    <definedName name="BExOFKIR7GOWGGEE7J9L3VKDLIYO" localSheetId="6" hidden="1">#REF!</definedName>
    <definedName name="BExOFKIR7GOWGGEE7J9L3VKDLIYO" localSheetId="7" hidden="1">#REF!</definedName>
    <definedName name="BExOFKIR7GOWGGEE7J9L3VKDLIYO" localSheetId="8" hidden="1">#REF!</definedName>
    <definedName name="BExOFKIR7GOWGGEE7J9L3VKDLIYO" hidden="1">#REF!</definedName>
    <definedName name="BExOG9P3NNB4J60XYY175VQ84E12" localSheetId="5" hidden="1">#REF!</definedName>
    <definedName name="BExOG9P3NNB4J60XYY175VQ84E12" localSheetId="2" hidden="1">#REF!</definedName>
    <definedName name="BExOG9P3NNB4J60XYY175VQ84E12" localSheetId="3" hidden="1">#REF!</definedName>
    <definedName name="BExOG9P3NNB4J60XYY175VQ84E12" localSheetId="4" hidden="1">#REF!</definedName>
    <definedName name="BExOG9P3NNB4J60XYY175VQ84E12" localSheetId="1" hidden="1">#REF!</definedName>
    <definedName name="BExOG9P3NNB4J60XYY175VQ84E12" localSheetId="6" hidden="1">#REF!</definedName>
    <definedName name="BExOG9P3NNB4J60XYY175VQ84E12" localSheetId="7" hidden="1">#REF!</definedName>
    <definedName name="BExOG9P3NNB4J60XYY175VQ84E12" localSheetId="8" hidden="1">#REF!</definedName>
    <definedName name="BExOG9P3NNB4J60XYY175VQ84E12" hidden="1">#REF!</definedName>
    <definedName name="BExOJ5E4FY9CI6KCX9DX48BET09P" localSheetId="5" hidden="1">#REF!</definedName>
    <definedName name="BExOJ5E4FY9CI6KCX9DX48BET09P" localSheetId="2" hidden="1">#REF!</definedName>
    <definedName name="BExOJ5E4FY9CI6KCX9DX48BET09P" localSheetId="3" hidden="1">#REF!</definedName>
    <definedName name="BExOJ5E4FY9CI6KCX9DX48BET09P" localSheetId="4" hidden="1">#REF!</definedName>
    <definedName name="BExOJ5E4FY9CI6KCX9DX48BET09P" localSheetId="1" hidden="1">#REF!</definedName>
    <definedName name="BExOJ5E4FY9CI6KCX9DX48BET09P" localSheetId="6" hidden="1">#REF!</definedName>
    <definedName name="BExOJ5E4FY9CI6KCX9DX48BET09P" localSheetId="7" hidden="1">#REF!</definedName>
    <definedName name="BExOJ5E4FY9CI6KCX9DX48BET09P" localSheetId="8" hidden="1">#REF!</definedName>
    <definedName name="BExOJ5E4FY9CI6KCX9DX48BET09P" hidden="1">#REF!</definedName>
    <definedName name="BExOM2FNSGCGUFD1S9IX2DY0TDAG" localSheetId="5" hidden="1">#REF!</definedName>
    <definedName name="BExOM2FNSGCGUFD1S9IX2DY0TDAG" localSheetId="2" hidden="1">#REF!</definedName>
    <definedName name="BExOM2FNSGCGUFD1S9IX2DY0TDAG" localSheetId="3" hidden="1">#REF!</definedName>
    <definedName name="BExOM2FNSGCGUFD1S9IX2DY0TDAG" localSheetId="4" hidden="1">#REF!</definedName>
    <definedName name="BExOM2FNSGCGUFD1S9IX2DY0TDAG" localSheetId="1" hidden="1">#REF!</definedName>
    <definedName name="BExOM2FNSGCGUFD1S9IX2DY0TDAG" localSheetId="6" hidden="1">#REF!</definedName>
    <definedName name="BExOM2FNSGCGUFD1S9IX2DY0TDAG" localSheetId="7" hidden="1">#REF!</definedName>
    <definedName name="BExOM2FNSGCGUFD1S9IX2DY0TDAG" localSheetId="8" hidden="1">#REF!</definedName>
    <definedName name="BExOM2FNSGCGUFD1S9IX2DY0TDAG" hidden="1">#REF!</definedName>
    <definedName name="BExOO7B5R051ZLREWT1A2APF3EUY" localSheetId="5" hidden="1">#REF!</definedName>
    <definedName name="BExOO7B5R051ZLREWT1A2APF3EUY" localSheetId="2" hidden="1">#REF!</definedName>
    <definedName name="BExOO7B5R051ZLREWT1A2APF3EUY" localSheetId="3" hidden="1">#REF!</definedName>
    <definedName name="BExOO7B5R051ZLREWT1A2APF3EUY" localSheetId="4" hidden="1">#REF!</definedName>
    <definedName name="BExOO7B5R051ZLREWT1A2APF3EUY" localSheetId="1" hidden="1">#REF!</definedName>
    <definedName name="BExOO7B5R051ZLREWT1A2APF3EUY" localSheetId="6" hidden="1">#REF!</definedName>
    <definedName name="BExOO7B5R051ZLREWT1A2APF3EUY" localSheetId="7" hidden="1">#REF!</definedName>
    <definedName name="BExOO7B5R051ZLREWT1A2APF3EUY" localSheetId="8" hidden="1">#REF!</definedName>
    <definedName name="BExOO7B5R051ZLREWT1A2APF3EUY" hidden="1">#REF!</definedName>
    <definedName name="BExQ1P9A50RV05E6D1C0UJC7O6Z6" localSheetId="5" hidden="1">#REF!</definedName>
    <definedName name="BExQ1P9A50RV05E6D1C0UJC7O6Z6" localSheetId="2" hidden="1">#REF!</definedName>
    <definedName name="BExQ1P9A50RV05E6D1C0UJC7O6Z6" localSheetId="3" hidden="1">#REF!</definedName>
    <definedName name="BExQ1P9A50RV05E6D1C0UJC7O6Z6" localSheetId="4" hidden="1">#REF!</definedName>
    <definedName name="BExQ1P9A50RV05E6D1C0UJC7O6Z6" localSheetId="1" hidden="1">#REF!</definedName>
    <definedName name="BExQ1P9A50RV05E6D1C0UJC7O6Z6" localSheetId="6" hidden="1">#REF!</definedName>
    <definedName name="BExQ1P9A50RV05E6D1C0UJC7O6Z6" localSheetId="7" hidden="1">#REF!</definedName>
    <definedName name="BExQ1P9A50RV05E6D1C0UJC7O6Z6" localSheetId="8" hidden="1">#REF!</definedName>
    <definedName name="BExQ1P9A50RV05E6D1C0UJC7O6Z6" hidden="1">#REF!</definedName>
    <definedName name="BExQGT7MYJYK3JH5MMCJ93RW30EY" localSheetId="5" hidden="1">#REF!</definedName>
    <definedName name="BExQGT7MYJYK3JH5MMCJ93RW30EY" localSheetId="2" hidden="1">#REF!</definedName>
    <definedName name="BExQGT7MYJYK3JH5MMCJ93RW30EY" localSheetId="3" hidden="1">#REF!</definedName>
    <definedName name="BExQGT7MYJYK3JH5MMCJ93RW30EY" localSheetId="4" hidden="1">#REF!</definedName>
    <definedName name="BExQGT7MYJYK3JH5MMCJ93RW30EY" localSheetId="1" hidden="1">#REF!</definedName>
    <definedName name="BExQGT7MYJYK3JH5MMCJ93RW30EY" localSheetId="6" hidden="1">#REF!</definedName>
    <definedName name="BExQGT7MYJYK3JH5MMCJ93RW30EY" localSheetId="7" hidden="1">#REF!</definedName>
    <definedName name="BExQGT7MYJYK3JH5MMCJ93RW30EY" localSheetId="8" hidden="1">#REF!</definedName>
    <definedName name="BExQGT7MYJYK3JH5MMCJ93RW30EY" hidden="1">#REF!</definedName>
    <definedName name="BExS6J9UQDR7NU7E44O4NVS0SMFF" localSheetId="5" hidden="1">#REF!</definedName>
    <definedName name="BExS6J9UQDR7NU7E44O4NVS0SMFF" localSheetId="2" hidden="1">#REF!</definedName>
    <definedName name="BExS6J9UQDR7NU7E44O4NVS0SMFF" localSheetId="3" hidden="1">#REF!</definedName>
    <definedName name="BExS6J9UQDR7NU7E44O4NVS0SMFF" localSheetId="4" hidden="1">#REF!</definedName>
    <definedName name="BExS6J9UQDR7NU7E44O4NVS0SMFF" localSheetId="1" hidden="1">#REF!</definedName>
    <definedName name="BExS6J9UQDR7NU7E44O4NVS0SMFF" localSheetId="6" hidden="1">#REF!</definedName>
    <definedName name="BExS6J9UQDR7NU7E44O4NVS0SMFF" localSheetId="7" hidden="1">#REF!</definedName>
    <definedName name="BExS6J9UQDR7NU7E44O4NVS0SMFF" localSheetId="8" hidden="1">#REF!</definedName>
    <definedName name="BExS6J9UQDR7NU7E44O4NVS0SMFF" hidden="1">#REF!</definedName>
    <definedName name="BExS9AX5X2DRERWUWZ00ICPTOKW6" localSheetId="5" hidden="1">#REF!</definedName>
    <definedName name="BExS9AX5X2DRERWUWZ00ICPTOKW6" localSheetId="2" hidden="1">#REF!</definedName>
    <definedName name="BExS9AX5X2DRERWUWZ00ICPTOKW6" localSheetId="3" hidden="1">#REF!</definedName>
    <definedName name="BExS9AX5X2DRERWUWZ00ICPTOKW6" localSheetId="4" hidden="1">#REF!</definedName>
    <definedName name="BExS9AX5X2DRERWUWZ00ICPTOKW6" localSheetId="1" hidden="1">#REF!</definedName>
    <definedName name="BExS9AX5X2DRERWUWZ00ICPTOKW6" localSheetId="6" hidden="1">#REF!</definedName>
    <definedName name="BExS9AX5X2DRERWUWZ00ICPTOKW6" localSheetId="7" hidden="1">#REF!</definedName>
    <definedName name="BExS9AX5X2DRERWUWZ00ICPTOKW6" localSheetId="8" hidden="1">#REF!</definedName>
    <definedName name="BExS9AX5X2DRERWUWZ00ICPTOKW6" hidden="1">#REF!</definedName>
    <definedName name="BExTUSQCJX9SEXQJ8KSEUBB435WW" localSheetId="5" hidden="1">#REF!</definedName>
    <definedName name="BExTUSQCJX9SEXQJ8KSEUBB435WW" localSheetId="2" hidden="1">#REF!</definedName>
    <definedName name="BExTUSQCJX9SEXQJ8KSEUBB435WW" localSheetId="3" hidden="1">#REF!</definedName>
    <definedName name="BExTUSQCJX9SEXQJ8KSEUBB435WW" localSheetId="4" hidden="1">#REF!</definedName>
    <definedName name="BExTUSQCJX9SEXQJ8KSEUBB435WW" localSheetId="1" hidden="1">#REF!</definedName>
    <definedName name="BExTUSQCJX9SEXQJ8KSEUBB435WW" localSheetId="6" hidden="1">#REF!</definedName>
    <definedName name="BExTUSQCJX9SEXQJ8KSEUBB435WW" localSheetId="7" hidden="1">#REF!</definedName>
    <definedName name="BExTUSQCJX9SEXQJ8KSEUBB435WW" localSheetId="8" hidden="1">#REF!</definedName>
    <definedName name="BExTUSQCJX9SEXQJ8KSEUBB435WW" hidden="1">#REF!</definedName>
    <definedName name="BExTUY4JDQDPKLPAMRKBI5FXGLXT" localSheetId="5" hidden="1">#REF!</definedName>
    <definedName name="BExTUY4JDQDPKLPAMRKBI5FXGLXT" localSheetId="2" hidden="1">#REF!</definedName>
    <definedName name="BExTUY4JDQDPKLPAMRKBI5FXGLXT" localSheetId="3" hidden="1">#REF!</definedName>
    <definedName name="BExTUY4JDQDPKLPAMRKBI5FXGLXT" localSheetId="4" hidden="1">#REF!</definedName>
    <definedName name="BExTUY4JDQDPKLPAMRKBI5FXGLXT" localSheetId="1" hidden="1">#REF!</definedName>
    <definedName name="BExTUY4JDQDPKLPAMRKBI5FXGLXT" localSheetId="6" hidden="1">#REF!</definedName>
    <definedName name="BExTUY4JDQDPKLPAMRKBI5FXGLXT" localSheetId="7" hidden="1">#REF!</definedName>
    <definedName name="BExTUY4JDQDPKLPAMRKBI5FXGLXT" localSheetId="8" hidden="1">#REF!</definedName>
    <definedName name="BExTUY4JDQDPKLPAMRKBI5FXGLXT" hidden="1">#REF!</definedName>
    <definedName name="BExTVWW086MKWSUP86BV2BUCTKE2" localSheetId="5" hidden="1">#REF!</definedName>
    <definedName name="BExTVWW086MKWSUP86BV2BUCTKE2" localSheetId="2" hidden="1">#REF!</definedName>
    <definedName name="BExTVWW086MKWSUP86BV2BUCTKE2" localSheetId="3" hidden="1">#REF!</definedName>
    <definedName name="BExTVWW086MKWSUP86BV2BUCTKE2" localSheetId="4" hidden="1">#REF!</definedName>
    <definedName name="BExTVWW086MKWSUP86BV2BUCTKE2" localSheetId="1" hidden="1">#REF!</definedName>
    <definedName name="BExTVWW086MKWSUP86BV2BUCTKE2" localSheetId="6" hidden="1">#REF!</definedName>
    <definedName name="BExTVWW086MKWSUP86BV2BUCTKE2" localSheetId="7" hidden="1">#REF!</definedName>
    <definedName name="BExTVWW086MKWSUP86BV2BUCTKE2" localSheetId="8" hidden="1">#REF!</definedName>
    <definedName name="BExTVWW086MKWSUP86BV2BUCTKE2" hidden="1">#REF!</definedName>
    <definedName name="BExVRN6HN5KF6S9T8S37509Y529T" localSheetId="5" hidden="1">#REF!</definedName>
    <definedName name="BExVRN6HN5KF6S9T8S37509Y529T" localSheetId="2" hidden="1">#REF!</definedName>
    <definedName name="BExVRN6HN5KF6S9T8S37509Y529T" localSheetId="3" hidden="1">#REF!</definedName>
    <definedName name="BExVRN6HN5KF6S9T8S37509Y529T" localSheetId="4" hidden="1">#REF!</definedName>
    <definedName name="BExVRN6HN5KF6S9T8S37509Y529T" localSheetId="1" hidden="1">#REF!</definedName>
    <definedName name="BExVRN6HN5KF6S9T8S37509Y529T" localSheetId="6" hidden="1">#REF!</definedName>
    <definedName name="BExVRN6HN5KF6S9T8S37509Y529T" localSheetId="7" hidden="1">#REF!</definedName>
    <definedName name="BExVRN6HN5KF6S9T8S37509Y529T" localSheetId="8" hidden="1">#REF!</definedName>
    <definedName name="BExVRN6HN5KF6S9T8S37509Y529T" hidden="1">#REF!</definedName>
    <definedName name="BExW0RCNNPHY9OS0Z5IK279DTO8G" localSheetId="5" hidden="1">#REF!</definedName>
    <definedName name="BExW0RCNNPHY9OS0Z5IK279DTO8G" localSheetId="2" hidden="1">#REF!</definedName>
    <definedName name="BExW0RCNNPHY9OS0Z5IK279DTO8G" localSheetId="3" hidden="1">#REF!</definedName>
    <definedName name="BExW0RCNNPHY9OS0Z5IK279DTO8G" localSheetId="4" hidden="1">#REF!</definedName>
    <definedName name="BExW0RCNNPHY9OS0Z5IK279DTO8G" localSheetId="1" hidden="1">#REF!</definedName>
    <definedName name="BExW0RCNNPHY9OS0Z5IK279DTO8G" localSheetId="6" hidden="1">#REF!</definedName>
    <definedName name="BExW0RCNNPHY9OS0Z5IK279DTO8G" localSheetId="7" hidden="1">#REF!</definedName>
    <definedName name="BExW0RCNNPHY9OS0Z5IK279DTO8G" localSheetId="8" hidden="1">#REF!</definedName>
    <definedName name="BExW0RCNNPHY9OS0Z5IK279DTO8G" hidden="1">#REF!</definedName>
    <definedName name="BExW3K1TOVXS7O1S19A6BUMYKXHV" localSheetId="5" hidden="1">'[1]categor actual'!#REF!</definedName>
    <definedName name="BExW3K1TOVXS7O1S19A6BUMYKXHV" localSheetId="2" hidden="1">'[1]categor actual'!#REF!</definedName>
    <definedName name="BExW3K1TOVXS7O1S19A6BUMYKXHV" localSheetId="3" hidden="1">'[1]categor actual'!#REF!</definedName>
    <definedName name="BExW3K1TOVXS7O1S19A6BUMYKXHV" localSheetId="11" hidden="1">'[1]categor actual'!#REF!</definedName>
    <definedName name="BExW3K1TOVXS7O1S19A6BUMYKXHV" localSheetId="4" hidden="1">'[1]categor actual'!#REF!</definedName>
    <definedName name="BExW3K1TOVXS7O1S19A6BUMYKXHV" localSheetId="1" hidden="1">'[1]categor actual'!#REF!</definedName>
    <definedName name="BExW3K1TOVXS7O1S19A6BUMYKXHV" localSheetId="6" hidden="1">'[1]categor actual'!#REF!</definedName>
    <definedName name="BExW3K1TOVXS7O1S19A6BUMYKXHV" localSheetId="7" hidden="1">'[1]categor actual'!#REF!</definedName>
    <definedName name="BExW3K1TOVXS7O1S19A6BUMYKXHV" localSheetId="8" hidden="1">'[1]categor actual'!#REF!</definedName>
    <definedName name="BExW3K1TOVXS7O1S19A6BUMYKXHV" hidden="1">'[1]categor actual'!#REF!</definedName>
    <definedName name="BExW3LJT54O5HSGMKG138IYDP647" localSheetId="5" hidden="1">#REF!</definedName>
    <definedName name="BExW3LJT54O5HSGMKG138IYDP647" localSheetId="2" hidden="1">#REF!</definedName>
    <definedName name="BExW3LJT54O5HSGMKG138IYDP647" localSheetId="3" hidden="1">#REF!</definedName>
    <definedName name="BExW3LJT54O5HSGMKG138IYDP647" localSheetId="11" hidden="1">#REF!</definedName>
    <definedName name="BExW3LJT54O5HSGMKG138IYDP647" localSheetId="4" hidden="1">#REF!</definedName>
    <definedName name="BExW3LJT54O5HSGMKG138IYDP647" localSheetId="1" hidden="1">#REF!</definedName>
    <definedName name="BExW3LJT54O5HSGMKG138IYDP647" localSheetId="6" hidden="1">#REF!</definedName>
    <definedName name="BExW3LJT54O5HSGMKG138IYDP647" localSheetId="7" hidden="1">#REF!</definedName>
    <definedName name="BExW3LJT54O5HSGMKG138IYDP647" localSheetId="8" hidden="1">#REF!</definedName>
    <definedName name="BExW3LJT54O5HSGMKG138IYDP647" hidden="1">#REF!</definedName>
    <definedName name="BExXPAPDWBVLE76F0MS8NVYMGFFC" localSheetId="5" hidden="1">#REF!</definedName>
    <definedName name="BExXPAPDWBVLE76F0MS8NVYMGFFC" localSheetId="2" hidden="1">#REF!</definedName>
    <definedName name="BExXPAPDWBVLE76F0MS8NVYMGFFC" localSheetId="3" hidden="1">#REF!</definedName>
    <definedName name="BExXPAPDWBVLE76F0MS8NVYMGFFC" localSheetId="4" hidden="1">#REF!</definedName>
    <definedName name="BExXPAPDWBVLE76F0MS8NVYMGFFC" localSheetId="1" hidden="1">#REF!</definedName>
    <definedName name="BExXPAPDWBVLE76F0MS8NVYMGFFC" localSheetId="6" hidden="1">#REF!</definedName>
    <definedName name="BExXPAPDWBVLE76F0MS8NVYMGFFC" localSheetId="7" hidden="1">#REF!</definedName>
    <definedName name="BExXPAPDWBVLE76F0MS8NVYMGFFC" localSheetId="8" hidden="1">#REF!</definedName>
    <definedName name="BExXPAPDWBVLE76F0MS8NVYMGFFC" hidden="1">#REF!</definedName>
    <definedName name="BExXRJH4FJO2R3YAARWW9VIPYI26" localSheetId="5" hidden="1">#REF!</definedName>
    <definedName name="BExXRJH4FJO2R3YAARWW9VIPYI26" localSheetId="2" hidden="1">#REF!</definedName>
    <definedName name="BExXRJH4FJO2R3YAARWW9VIPYI26" localSheetId="3" hidden="1">#REF!</definedName>
    <definedName name="BExXRJH4FJO2R3YAARWW9VIPYI26" localSheetId="4" hidden="1">#REF!</definedName>
    <definedName name="BExXRJH4FJO2R3YAARWW9VIPYI26" localSheetId="1" hidden="1">#REF!</definedName>
    <definedName name="BExXRJH4FJO2R3YAARWW9VIPYI26" localSheetId="6" hidden="1">#REF!</definedName>
    <definedName name="BExXRJH4FJO2R3YAARWW9VIPYI26" localSheetId="7" hidden="1">#REF!</definedName>
    <definedName name="BExXRJH4FJO2R3YAARWW9VIPYI26" localSheetId="8" hidden="1">#REF!</definedName>
    <definedName name="BExXRJH4FJO2R3YAARWW9VIPYI26" hidden="1">#REF!</definedName>
    <definedName name="BExY0RE3ELI21MD0PB9566NZLLV7" localSheetId="5" hidden="1">#REF!</definedName>
    <definedName name="BExY0RE3ELI21MD0PB9566NZLLV7" localSheetId="2" hidden="1">#REF!</definedName>
    <definedName name="BExY0RE3ELI21MD0PB9566NZLLV7" localSheetId="3" hidden="1">#REF!</definedName>
    <definedName name="BExY0RE3ELI21MD0PB9566NZLLV7" localSheetId="4" hidden="1">#REF!</definedName>
    <definedName name="BExY0RE3ELI21MD0PB9566NZLLV7" localSheetId="1" hidden="1">#REF!</definedName>
    <definedName name="BExY0RE3ELI21MD0PB9566NZLLV7" localSheetId="6" hidden="1">#REF!</definedName>
    <definedName name="BExY0RE3ELI21MD0PB9566NZLLV7" localSheetId="7" hidden="1">#REF!</definedName>
    <definedName name="BExY0RE3ELI21MD0PB9566NZLLV7" localSheetId="8" hidden="1">#REF!</definedName>
    <definedName name="BExY0RE3ELI21MD0PB9566NZLLV7" hidden="1">#REF!</definedName>
    <definedName name="BExY1KWTOO0VWU7CGNMTAW5MOJ3J" localSheetId="5" hidden="1">#REF!</definedName>
    <definedName name="BExY1KWTOO0VWU7CGNMTAW5MOJ3J" localSheetId="2" hidden="1">#REF!</definedName>
    <definedName name="BExY1KWTOO0VWU7CGNMTAW5MOJ3J" localSheetId="3" hidden="1">#REF!</definedName>
    <definedName name="BExY1KWTOO0VWU7CGNMTAW5MOJ3J" localSheetId="4" hidden="1">#REF!</definedName>
    <definedName name="BExY1KWTOO0VWU7CGNMTAW5MOJ3J" localSheetId="1" hidden="1">#REF!</definedName>
    <definedName name="BExY1KWTOO0VWU7CGNMTAW5MOJ3J" localSheetId="6" hidden="1">#REF!</definedName>
    <definedName name="BExY1KWTOO0VWU7CGNMTAW5MOJ3J" localSheetId="7" hidden="1">#REF!</definedName>
    <definedName name="BExY1KWTOO0VWU7CGNMTAW5MOJ3J" localSheetId="8" hidden="1">#REF!</definedName>
    <definedName name="BExY1KWTOO0VWU7CGNMTAW5MOJ3J" hidden="1">#REF!</definedName>
    <definedName name="BExY1SEJKVG5BMA7PWU4IR0FAD9L" localSheetId="5" hidden="1">#REF!</definedName>
    <definedName name="BExY1SEJKVG5BMA7PWU4IR0FAD9L" localSheetId="2" hidden="1">#REF!</definedName>
    <definedName name="BExY1SEJKVG5BMA7PWU4IR0FAD9L" localSheetId="3" hidden="1">#REF!</definedName>
    <definedName name="BExY1SEJKVG5BMA7PWU4IR0FAD9L" localSheetId="4" hidden="1">#REF!</definedName>
    <definedName name="BExY1SEJKVG5BMA7PWU4IR0FAD9L" localSheetId="1" hidden="1">#REF!</definedName>
    <definedName name="BExY1SEJKVG5BMA7PWU4IR0FAD9L" localSheetId="6" hidden="1">#REF!</definedName>
    <definedName name="BExY1SEJKVG5BMA7PWU4IR0FAD9L" localSheetId="7" hidden="1">#REF!</definedName>
    <definedName name="BExY1SEJKVG5BMA7PWU4IR0FAD9L" localSheetId="8" hidden="1">#REF!</definedName>
    <definedName name="BExY1SEJKVG5BMA7PWU4IR0FAD9L" hidden="1">#REF!</definedName>
    <definedName name="BExZJ29J3QV28VGGV5DN623867NU" localSheetId="5" hidden="1">'[1]categor actual'!#REF!</definedName>
    <definedName name="BExZJ29J3QV28VGGV5DN623867NU" localSheetId="2" hidden="1">'[1]categor actual'!#REF!</definedName>
    <definedName name="BExZJ29J3QV28VGGV5DN623867NU" localSheetId="3" hidden="1">'[1]categor actual'!#REF!</definedName>
    <definedName name="BExZJ29J3QV28VGGV5DN623867NU" localSheetId="11" hidden="1">'[1]categor actual'!#REF!</definedName>
    <definedName name="BExZJ29J3QV28VGGV5DN623867NU" localSheetId="4" hidden="1">'[1]categor actual'!#REF!</definedName>
    <definedName name="BExZJ29J3QV28VGGV5DN623867NU" localSheetId="1" hidden="1">'[1]categor actual'!#REF!</definedName>
    <definedName name="BExZJ29J3QV28VGGV5DN623867NU" localSheetId="6" hidden="1">'[1]categor actual'!#REF!</definedName>
    <definedName name="BExZJ29J3QV28VGGV5DN623867NU" localSheetId="7" hidden="1">'[1]categor actual'!#REF!</definedName>
    <definedName name="BExZJ29J3QV28VGGV5DN623867NU" localSheetId="8" hidden="1">'[1]categor actual'!#REF!</definedName>
    <definedName name="BExZJ29J3QV28VGGV5DN623867NU" hidden="1">'[1]categor actual'!#REF!</definedName>
    <definedName name="BExZK2Z8PFLNR2AL6R4XC3LOZHNR" localSheetId="5" hidden="1">#REF!</definedName>
    <definedName name="BExZK2Z8PFLNR2AL6R4XC3LOZHNR" localSheetId="2" hidden="1">#REF!</definedName>
    <definedName name="BExZK2Z8PFLNR2AL6R4XC3LOZHNR" localSheetId="3" hidden="1">#REF!</definedName>
    <definedName name="BExZK2Z8PFLNR2AL6R4XC3LOZHNR" localSheetId="11" hidden="1">#REF!</definedName>
    <definedName name="BExZK2Z8PFLNR2AL6R4XC3LOZHNR" localSheetId="4" hidden="1">#REF!</definedName>
    <definedName name="BExZK2Z8PFLNR2AL6R4XC3LOZHNR" localSheetId="1" hidden="1">#REF!</definedName>
    <definedName name="BExZK2Z8PFLNR2AL6R4XC3LOZHNR" localSheetId="6" hidden="1">#REF!</definedName>
    <definedName name="BExZK2Z8PFLNR2AL6R4XC3LOZHNR" localSheetId="7" hidden="1">#REF!</definedName>
    <definedName name="BExZK2Z8PFLNR2AL6R4XC3LOZHNR" localSheetId="8" hidden="1">#REF!</definedName>
    <definedName name="BExZK2Z8PFLNR2AL6R4XC3LOZHNR" hidden="1">#REF!</definedName>
    <definedName name="BExZYFT80R8UM79UTGJG8C1ZX5GU" localSheetId="5" hidden="1">#REF!</definedName>
    <definedName name="BExZYFT80R8UM79UTGJG8C1ZX5GU" localSheetId="2" hidden="1">#REF!</definedName>
    <definedName name="BExZYFT80R8UM79UTGJG8C1ZX5GU" localSheetId="3" hidden="1">#REF!</definedName>
    <definedName name="BExZYFT80R8UM79UTGJG8C1ZX5GU" localSheetId="4" hidden="1">#REF!</definedName>
    <definedName name="BExZYFT80R8UM79UTGJG8C1ZX5GU" localSheetId="1" hidden="1">#REF!</definedName>
    <definedName name="BExZYFT80R8UM79UTGJG8C1ZX5GU" localSheetId="6" hidden="1">#REF!</definedName>
    <definedName name="BExZYFT80R8UM79UTGJG8C1ZX5GU" localSheetId="7" hidden="1">#REF!</definedName>
    <definedName name="BExZYFT80R8UM79UTGJG8C1ZX5GU" localSheetId="8" hidden="1">#REF!</definedName>
    <definedName name="BExZYFT80R8UM79UTGJG8C1ZX5GU" hidden="1">#REF!</definedName>
    <definedName name="CFF" localSheetId="5">'[2]plan plaćanja po mjes'!#REF!</definedName>
    <definedName name="CFF" localSheetId="2">'[2]plan plaćanja po mjes'!#REF!</definedName>
    <definedName name="CFF" localSheetId="3">'[2]plan plaćanja po mjes'!#REF!</definedName>
    <definedName name="CFF" localSheetId="11">'[2]plan plaćanja po mjes'!#REF!</definedName>
    <definedName name="CFF" localSheetId="4">'[2]plan plaćanja po mjes'!#REF!</definedName>
    <definedName name="CFF" localSheetId="1">'[2]plan plaćanja po mjes'!#REF!</definedName>
    <definedName name="CFF" localSheetId="6">'[2]plan plaćanja po mjes'!#REF!</definedName>
    <definedName name="CFF" localSheetId="7">'[2]plan plaćanja po mjes'!#REF!</definedName>
    <definedName name="CFF" localSheetId="8">'[2]plan plaćanja po mjes'!#REF!</definedName>
    <definedName name="CFF">'[2]plan plaćanja po mjes'!#REF!</definedName>
    <definedName name="cff_N2" localSheetId="5">#REF!</definedName>
    <definedName name="cff_N2" localSheetId="2">#REF!</definedName>
    <definedName name="cff_N2" localSheetId="3">#REF!</definedName>
    <definedName name="cff_N2" localSheetId="11">#REF!</definedName>
    <definedName name="cff_N2" localSheetId="4">#REF!</definedName>
    <definedName name="cff_N2" localSheetId="1">#REF!</definedName>
    <definedName name="cff_N2" localSheetId="6">#REF!</definedName>
    <definedName name="cff_N2" localSheetId="7">#REF!</definedName>
    <definedName name="cff_N2" localSheetId="8">#REF!</definedName>
    <definedName name="cff_N2">#REF!</definedName>
    <definedName name="g" localSheetId="5" hidden="1">'[1]categor actual'!#REF!</definedName>
    <definedName name="g" localSheetId="2" hidden="1">'[1]categor actual'!#REF!</definedName>
    <definedName name="g" localSheetId="3" hidden="1">'[1]categor actual'!#REF!</definedName>
    <definedName name="g" localSheetId="11" hidden="1">'[1]categor actual'!#REF!</definedName>
    <definedName name="g" localSheetId="4" hidden="1">'[1]categor actual'!#REF!</definedName>
    <definedName name="g" localSheetId="1" hidden="1">'[1]categor actual'!#REF!</definedName>
    <definedName name="g" localSheetId="6" hidden="1">'[1]categor actual'!#REF!</definedName>
    <definedName name="g" localSheetId="7" hidden="1">'[1]categor actual'!#REF!</definedName>
    <definedName name="g" localSheetId="8" hidden="1">'[1]categor actual'!#REF!</definedName>
    <definedName name="g" hidden="1">'[1]categor actual'!#REF!</definedName>
    <definedName name="gg" localSheetId="5" hidden="1">#REF!</definedName>
    <definedName name="gg" localSheetId="2" hidden="1">#REF!</definedName>
    <definedName name="gg" localSheetId="3" hidden="1">#REF!</definedName>
    <definedName name="gg" localSheetId="11" hidden="1">#REF!</definedName>
    <definedName name="gg" localSheetId="4" hidden="1">#REF!</definedName>
    <definedName name="gg" localSheetId="1" hidden="1">#REF!</definedName>
    <definedName name="gg" localSheetId="6" hidden="1">#REF!</definedName>
    <definedName name="gg" localSheetId="7" hidden="1">#REF!</definedName>
    <definedName name="gg" localSheetId="8" hidden="1">#REF!</definedName>
    <definedName name="gg" hidden="1">#REF!</definedName>
    <definedName name="GODINE" localSheetId="5">#REF!,#REF!</definedName>
    <definedName name="GODINE" localSheetId="2">#REF!,#REF!</definedName>
    <definedName name="GODINE" localSheetId="3">#REF!,#REF!</definedName>
    <definedName name="GODINE" localSheetId="11">#REF!,#REF!</definedName>
    <definedName name="GODINE" localSheetId="4">#REF!,#REF!</definedName>
    <definedName name="GODINE" localSheetId="1">#REF!,#REF!</definedName>
    <definedName name="GODINE" localSheetId="6">#REF!,#REF!</definedName>
    <definedName name="GODINE" localSheetId="7">#REF!,#REF!</definedName>
    <definedName name="GODINE" localSheetId="8">#REF!,#REF!</definedName>
    <definedName name="GODINE">#REF!,#REF!</definedName>
    <definedName name="KF" localSheetId="5">IF(LEFT(RIGHT(#REF!,6),1)="2",#REF!,0)</definedName>
    <definedName name="KF" localSheetId="2">IF(LEFT(RIGHT(#REF!,6),1)="2",#REF!,0)</definedName>
    <definedName name="KF" localSheetId="3">IF(LEFT(RIGHT(#REF!,6),1)="2",#REF!,0)</definedName>
    <definedName name="KF" localSheetId="11">IF(LEFT(RIGHT(#REF!,6),1)="2",#REF!,0)</definedName>
    <definedName name="KF" localSheetId="4">IF(LEFT(RIGHT(#REF!,6),1)="2",#REF!,0)</definedName>
    <definedName name="KF" localSheetId="1">IF(LEFT(RIGHT(#REF!,6),1)="2",#REF!,0)</definedName>
    <definedName name="KF" localSheetId="6">IF(LEFT(RIGHT(#REF!,6),1)="2",#REF!,0)</definedName>
    <definedName name="KF" localSheetId="7">IF(LEFT(RIGHT(#REF!,6),1)="2",#REF!,0)</definedName>
    <definedName name="KF" localSheetId="8">IF(LEFT(RIGHT(#REF!,6),1)="2",#REF!,0)</definedName>
    <definedName name="KF">IF(LEFT(RIGHT(#REF!,6),1)="2",#REF!,0)</definedName>
    <definedName name="PLAN3.1" localSheetId="5">#REF!</definedName>
    <definedName name="PLAN3.1" localSheetId="2">#REF!</definedName>
    <definedName name="PLAN3.1" localSheetId="3">#REF!</definedName>
    <definedName name="PLAN3.1" localSheetId="4">#REF!</definedName>
    <definedName name="PLAN3.1" localSheetId="1">#REF!</definedName>
    <definedName name="PLAN3.1" localSheetId="6">#REF!</definedName>
    <definedName name="PLAN3.1" localSheetId="7">#REF!</definedName>
    <definedName name="PLAN3.1" localSheetId="8">#REF!</definedName>
    <definedName name="PLAN3.1">#REF!</definedName>
    <definedName name="PLAN3.2" localSheetId="5">#REF!</definedName>
    <definedName name="PLAN3.2" localSheetId="2">#REF!</definedName>
    <definedName name="PLAN3.2" localSheetId="3">#REF!</definedName>
    <definedName name="PLAN3.2" localSheetId="4">#REF!</definedName>
    <definedName name="PLAN3.2" localSheetId="1">#REF!</definedName>
    <definedName name="PLAN3.2" localSheetId="6">#REF!</definedName>
    <definedName name="PLAN3.2" localSheetId="7">#REF!</definedName>
    <definedName name="PLAN3.2" localSheetId="8">#REF!</definedName>
    <definedName name="PLAN3.2">#REF!</definedName>
    <definedName name="_xlnm.Print_Area" localSheetId="11">'OPKK PO1 i PO3'!$A$1:$AO$50</definedName>
    <definedName name="PS" localSheetId="5">SUBTOTAL(9,#REF!)</definedName>
    <definedName name="PS" localSheetId="2">SUBTOTAL(9,#REF!)</definedName>
    <definedName name="PS" localSheetId="3">SUBTOTAL(9,#REF!)</definedName>
    <definedName name="PS" localSheetId="11">SUBTOTAL(9,#REF!)</definedName>
    <definedName name="PS" localSheetId="4">SUBTOTAL(9,#REF!)</definedName>
    <definedName name="PS" localSheetId="1">SUBTOTAL(9,#REF!)</definedName>
    <definedName name="PS" localSheetId="6">SUBTOTAL(9,#REF!)</definedName>
    <definedName name="PS" localSheetId="7">SUBTOTAL(9,#REF!)</definedName>
    <definedName name="PS" localSheetId="8">SUBTOTAL(9,#REF!)</definedName>
    <definedName name="PS">SUBTOTAL(9,#REF!)</definedName>
    <definedName name="SAPBEXhrIndnt" hidden="1">1</definedName>
    <definedName name="SAPBEXrevision" hidden="1">19</definedName>
    <definedName name="SAPBEXsysID" hidden="1">"DBW"</definedName>
    <definedName name="SAPBEXwbID" hidden="1">"C5JLCJNW5QX74VOFH7FM6BGJS"</definedName>
    <definedName name="sdf" localSheetId="5" hidden="1">#REF!</definedName>
    <definedName name="sdf" localSheetId="2" hidden="1">#REF!</definedName>
    <definedName name="sdf" localSheetId="3" hidden="1">#REF!</definedName>
    <definedName name="sdf" localSheetId="11" hidden="1">#REF!</definedName>
    <definedName name="sdf" localSheetId="4" hidden="1">#REF!</definedName>
    <definedName name="sdf" localSheetId="1" hidden="1">#REF!</definedName>
    <definedName name="sdf" localSheetId="6" hidden="1">#REF!</definedName>
    <definedName name="sdf" localSheetId="7" hidden="1">#REF!</definedName>
    <definedName name="sdf" localSheetId="8" hidden="1">#REF!</definedName>
    <definedName name="sdf" hidden="1">#REF!</definedName>
    <definedName name="sdfs" localSheetId="5" hidden="1">#REF!</definedName>
    <definedName name="sdfs" localSheetId="2" hidden="1">#REF!</definedName>
    <definedName name="sdfs" localSheetId="3" hidden="1">#REF!</definedName>
    <definedName name="sdfs" localSheetId="4" hidden="1">#REF!</definedName>
    <definedName name="sdfs" localSheetId="1" hidden="1">#REF!</definedName>
    <definedName name="sdfs" localSheetId="6" hidden="1">#REF!</definedName>
    <definedName name="sdfs" localSheetId="7" hidden="1">#REF!</definedName>
    <definedName name="sdfs" localSheetId="8" hidden="1">#REF!</definedName>
    <definedName name="sdfs" hidden="1">#REF!</definedName>
    <definedName name="TEČAJ" localSheetId="5">#REF!</definedName>
    <definedName name="TEČAJ" localSheetId="2">#REF!</definedName>
    <definedName name="TEČAJ" localSheetId="3">#REF!</definedName>
    <definedName name="TEČAJ" localSheetId="4">#REF!</definedName>
    <definedName name="TEČAJ" localSheetId="1">#REF!</definedName>
    <definedName name="TEČAJ" localSheetId="6">#REF!</definedName>
    <definedName name="TEČAJ" localSheetId="7">#REF!</definedName>
    <definedName name="TEČAJ" localSheetId="8">#REF!</definedName>
    <definedName name="TEČAJ">#REF!</definedName>
    <definedName name="VIP_KF" localSheetId="5">IF(#REF!&lt;&gt;0,IF(RIGHT(#REF!,1)="1",#REF!,IF(RIGHT(#REF!,1)="2",#REF!,0)),0)</definedName>
    <definedName name="VIP_KF" localSheetId="2">IF(#REF!&lt;&gt;0,IF(RIGHT(#REF!,1)="1",#REF!,IF(RIGHT(#REF!,1)="2",#REF!,0)),0)</definedName>
    <definedName name="VIP_KF" localSheetId="3">IF(#REF!&lt;&gt;0,IF(RIGHT(#REF!,1)="1",#REF!,IF(RIGHT(#REF!,1)="2",#REF!,0)),0)</definedName>
    <definedName name="VIP_KF" localSheetId="11">IF(#REF!&lt;&gt;0,IF(RIGHT(#REF!,1)="1",#REF!,IF(RIGHT(#REF!,1)="2",#REF!,0)),0)</definedName>
    <definedName name="VIP_KF" localSheetId="4">IF(#REF!&lt;&gt;0,IF(RIGHT(#REF!,1)="1",#REF!,IF(RIGHT(#REF!,1)="2",#REF!,0)),0)</definedName>
    <definedName name="VIP_KF" localSheetId="1">IF(#REF!&lt;&gt;0,IF(RIGHT(#REF!,1)="1",#REF!,IF(RIGHT(#REF!,1)="2",#REF!,0)),0)</definedName>
    <definedName name="VIP_KF" localSheetId="6">IF(#REF!&lt;&gt;0,IF(RIGHT(#REF!,1)="1",#REF!,IF(RIGHT(#REF!,1)="2",#REF!,0)),0)</definedName>
    <definedName name="VIP_KF" localSheetId="7">IF(#REF!&lt;&gt;0,IF(RIGHT(#REF!,1)="1",#REF!,IF(RIGHT(#REF!,1)="2",#REF!,0)),0)</definedName>
    <definedName name="VIP_KF" localSheetId="8">IF(#REF!&lt;&gt;0,IF(RIGHT(#REF!,1)="1",#REF!,IF(RIGHT(#REF!,1)="2",#REF!,0)),0)</definedName>
    <definedName name="VIP_KF">IF(#REF!&lt;&gt;0,IF(RIGHT(#REF!,1)="1",#REF!,IF(RIGHT(#REF!,1)="2",#REF!,0)),0)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20" i="75" l="1"/>
  <c r="P120" i="75"/>
  <c r="Q120" i="75"/>
  <c r="Q124" i="75" l="1"/>
  <c r="O124" i="75"/>
  <c r="Q123" i="75"/>
  <c r="O123" i="75"/>
  <c r="H90" i="75"/>
  <c r="F90" i="75"/>
  <c r="G90" i="75" s="1"/>
  <c r="N7" i="76"/>
  <c r="L7" i="76"/>
  <c r="H17" i="75"/>
  <c r="AC34" i="76"/>
  <c r="AA34" i="76"/>
  <c r="N27" i="76"/>
  <c r="Q122" i="75"/>
  <c r="O122" i="75"/>
  <c r="P122" i="75" s="1"/>
  <c r="Q121" i="75"/>
  <c r="O121" i="75"/>
  <c r="P121" i="75" s="1"/>
  <c r="G29" i="8" l="1"/>
  <c r="I24" i="4"/>
  <c r="I80" i="5"/>
  <c r="AO57" i="77" l="1"/>
  <c r="AN57" i="77"/>
  <c r="AM57" i="77"/>
  <c r="AL57" i="77"/>
  <c r="AI57" i="77"/>
  <c r="AH57" i="77"/>
  <c r="AG57" i="77"/>
  <c r="AE57" i="77"/>
  <c r="AD57" i="77"/>
  <c r="AA57" i="77"/>
  <c r="Z57" i="77"/>
  <c r="AB57" i="77" s="1"/>
  <c r="Y57" i="77"/>
  <c r="X57" i="77"/>
  <c r="V57" i="77"/>
  <c r="U57" i="77"/>
  <c r="T57" i="77"/>
  <c r="S57" i="77"/>
  <c r="R57" i="77"/>
  <c r="Q57" i="77"/>
  <c r="P57" i="77"/>
  <c r="O57" i="77"/>
  <c r="N57" i="77"/>
  <c r="M57" i="77"/>
  <c r="K57" i="77"/>
  <c r="J57" i="77"/>
  <c r="I57" i="77"/>
  <c r="H57" i="77"/>
  <c r="G57" i="77"/>
  <c r="F57" i="77"/>
  <c r="E57" i="77"/>
  <c r="AO56" i="77"/>
  <c r="AN56" i="77"/>
  <c r="AM56" i="77"/>
  <c r="AL56" i="77"/>
  <c r="AI56" i="77"/>
  <c r="AH56" i="77"/>
  <c r="AG56" i="77"/>
  <c r="AE56" i="77"/>
  <c r="AD56" i="77"/>
  <c r="V56" i="77"/>
  <c r="S56" i="77"/>
  <c r="Q56" i="77"/>
  <c r="P56" i="77"/>
  <c r="O56" i="77"/>
  <c r="M56" i="77"/>
  <c r="K56" i="77"/>
  <c r="J56" i="77"/>
  <c r="I56" i="77"/>
  <c r="H56" i="77"/>
  <c r="G56" i="77"/>
  <c r="F56" i="77"/>
  <c r="E56" i="77"/>
  <c r="AO55" i="77"/>
  <c r="AN55" i="77"/>
  <c r="AM55" i="77"/>
  <c r="AL55" i="77"/>
  <c r="AI55" i="77"/>
  <c r="AH55" i="77"/>
  <c r="AG55" i="77"/>
  <c r="AF55" i="77"/>
  <c r="AE55" i="77"/>
  <c r="AD55" i="77"/>
  <c r="Z55" i="77"/>
  <c r="X55" i="77"/>
  <c r="V55" i="77"/>
  <c r="U55" i="77"/>
  <c r="T55" i="77"/>
  <c r="S55" i="77"/>
  <c r="R55" i="77"/>
  <c r="Q55" i="77"/>
  <c r="P55" i="77"/>
  <c r="O55" i="77"/>
  <c r="N55" i="77"/>
  <c r="M55" i="77"/>
  <c r="K55" i="77"/>
  <c r="J55" i="77"/>
  <c r="I55" i="77"/>
  <c r="H55" i="77"/>
  <c r="G55" i="77"/>
  <c r="F55" i="77"/>
  <c r="E55" i="77"/>
  <c r="Y55" i="77" s="1"/>
  <c r="AO54" i="77"/>
  <c r="AN54" i="77"/>
  <c r="AM54" i="77"/>
  <c r="AL54" i="77"/>
  <c r="AF54" i="77"/>
  <c r="AO53" i="77"/>
  <c r="AN53" i="77"/>
  <c r="AM53" i="77"/>
  <c r="AL53" i="77"/>
  <c r="AI53" i="77"/>
  <c r="AH53" i="77"/>
  <c r="AG53" i="77"/>
  <c r="AF53" i="77"/>
  <c r="AE53" i="77"/>
  <c r="AD53" i="77"/>
  <c r="Z53" i="77"/>
  <c r="X53" i="77"/>
  <c r="V53" i="77"/>
  <c r="U53" i="77"/>
  <c r="T53" i="77"/>
  <c r="S53" i="77"/>
  <c r="R53" i="77"/>
  <c r="Q53" i="77"/>
  <c r="P53" i="77"/>
  <c r="O53" i="77"/>
  <c r="N53" i="77"/>
  <c r="M53" i="77"/>
  <c r="K53" i="77"/>
  <c r="J53" i="77"/>
  <c r="I53" i="77"/>
  <c r="H53" i="77"/>
  <c r="G53" i="77"/>
  <c r="F53" i="77"/>
  <c r="E53" i="77"/>
  <c r="Y53" i="77" s="1"/>
  <c r="AO52" i="77"/>
  <c r="AN52" i="77"/>
  <c r="AM52" i="77"/>
  <c r="AL52" i="77"/>
  <c r="AI52" i="77"/>
  <c r="AH52" i="77"/>
  <c r="AG52" i="77"/>
  <c r="AE52" i="77"/>
  <c r="AD52" i="77"/>
  <c r="Z52" i="77"/>
  <c r="AA52" i="77" s="1"/>
  <c r="Y52" i="77"/>
  <c r="X52" i="77"/>
  <c r="V52" i="77"/>
  <c r="U52" i="77"/>
  <c r="T52" i="77"/>
  <c r="S52" i="77"/>
  <c r="R52" i="77"/>
  <c r="Q52" i="77"/>
  <c r="P52" i="77"/>
  <c r="O52" i="77"/>
  <c r="N52" i="77"/>
  <c r="M52" i="77"/>
  <c r="K52" i="77"/>
  <c r="J52" i="77"/>
  <c r="I52" i="77"/>
  <c r="H52" i="77"/>
  <c r="G52" i="77"/>
  <c r="F52" i="77"/>
  <c r="E52" i="77"/>
  <c r="AL50" i="77"/>
  <c r="AF50" i="77"/>
  <c r="E46" i="77"/>
  <c r="E51" i="77" s="1"/>
  <c r="AM43" i="77"/>
  <c r="AM50" i="77" s="1"/>
  <c r="AL43" i="77"/>
  <c r="AJ43" i="77"/>
  <c r="AE43" i="77"/>
  <c r="AD43" i="77"/>
  <c r="V43" i="77"/>
  <c r="S43" i="77"/>
  <c r="M43" i="77"/>
  <c r="K43" i="77"/>
  <c r="F43" i="77"/>
  <c r="E43" i="77"/>
  <c r="D43" i="77"/>
  <c r="AO42" i="77"/>
  <c r="AN42" i="77"/>
  <c r="AM42" i="77"/>
  <c r="AL42" i="77"/>
  <c r="AJ42" i="77"/>
  <c r="AI42" i="77"/>
  <c r="AH42" i="77"/>
  <c r="AG42" i="77"/>
  <c r="AE42" i="77"/>
  <c r="AD42" i="77"/>
  <c r="X42" i="77"/>
  <c r="V42" i="77"/>
  <c r="S42" i="77"/>
  <c r="R42" i="77"/>
  <c r="Q42" i="77"/>
  <c r="P42" i="77"/>
  <c r="O42" i="77"/>
  <c r="M42" i="77"/>
  <c r="K42" i="77"/>
  <c r="J42" i="77"/>
  <c r="I42" i="77"/>
  <c r="H42" i="77"/>
  <c r="G42" i="77"/>
  <c r="F42" i="77"/>
  <c r="E42" i="77"/>
  <c r="AK41" i="77"/>
  <c r="AF41" i="77"/>
  <c r="AB41" i="77"/>
  <c r="AA41" i="77"/>
  <c r="Y41" i="77"/>
  <c r="W41" i="77"/>
  <c r="L41" i="77"/>
  <c r="AK40" i="77"/>
  <c r="AA40" i="77"/>
  <c r="Y40" i="77"/>
  <c r="W40" i="77"/>
  <c r="W55" i="77" s="1"/>
  <c r="L40" i="77"/>
  <c r="AK39" i="77"/>
  <c r="AA39" i="77"/>
  <c r="Y39" i="77"/>
  <c r="W39" i="77"/>
  <c r="AB39" i="77" s="1"/>
  <c r="L39" i="77"/>
  <c r="AK38" i="77"/>
  <c r="AF38" i="77"/>
  <c r="AA38" i="77"/>
  <c r="Y38" i="77"/>
  <c r="W38" i="77"/>
  <c r="AB38" i="77" s="1"/>
  <c r="L38" i="77"/>
  <c r="AK37" i="77"/>
  <c r="AF37" i="77"/>
  <c r="AB37" i="77"/>
  <c r="AA37" i="77"/>
  <c r="Y37" i="77"/>
  <c r="W37" i="77"/>
  <c r="L37" i="77"/>
  <c r="AK36" i="77"/>
  <c r="AB36" i="77"/>
  <c r="AA36" i="77"/>
  <c r="Y36" i="77"/>
  <c r="W36" i="77"/>
  <c r="L36" i="77"/>
  <c r="AK35" i="77"/>
  <c r="Z35" i="77"/>
  <c r="AB35" i="77" s="1"/>
  <c r="Y35" i="77"/>
  <c r="W35" i="77"/>
  <c r="U35" i="77"/>
  <c r="L35" i="77"/>
  <c r="AK34" i="77"/>
  <c r="AA34" i="77"/>
  <c r="Y34" i="77"/>
  <c r="W34" i="77"/>
  <c r="AB34" i="77" s="1"/>
  <c r="N34" i="77"/>
  <c r="N42" i="77" s="1"/>
  <c r="N43" i="77" s="1"/>
  <c r="M34" i="77"/>
  <c r="L34" i="77"/>
  <c r="AK33" i="77"/>
  <c r="AF33" i="77"/>
  <c r="Z33" i="77"/>
  <c r="AA33" i="77" s="1"/>
  <c r="Y33" i="77"/>
  <c r="U33" i="77"/>
  <c r="T33" i="77"/>
  <c r="W33" i="77" s="1"/>
  <c r="L33" i="77"/>
  <c r="AK32" i="77"/>
  <c r="AB32" i="77"/>
  <c r="AA32" i="77"/>
  <c r="Y32" i="77"/>
  <c r="W32" i="77"/>
  <c r="L32" i="77"/>
  <c r="AK31" i="77"/>
  <c r="AA31" i="77"/>
  <c r="Y31" i="77"/>
  <c r="W31" i="77"/>
  <c r="AB31" i="77" s="1"/>
  <c r="L31" i="77"/>
  <c r="AK30" i="77"/>
  <c r="AA30" i="77"/>
  <c r="Y30" i="77"/>
  <c r="X30" i="77"/>
  <c r="U30" i="77"/>
  <c r="T30" i="77"/>
  <c r="T42" i="77" s="1"/>
  <c r="T43" i="77" s="1"/>
  <c r="L30" i="77"/>
  <c r="AK29" i="77"/>
  <c r="Z29" i="77"/>
  <c r="Y29" i="77"/>
  <c r="U29" i="77"/>
  <c r="U42" i="77" s="1"/>
  <c r="U43" i="77" s="1"/>
  <c r="L29" i="77"/>
  <c r="AK28" i="77"/>
  <c r="AF28" i="77"/>
  <c r="Z28" i="77"/>
  <c r="AB28" i="77" s="1"/>
  <c r="Y28" i="77"/>
  <c r="W28" i="77"/>
  <c r="V28" i="77"/>
  <c r="L28" i="77"/>
  <c r="AK27" i="77"/>
  <c r="AA27" i="77"/>
  <c r="Y27" i="77"/>
  <c r="W27" i="77"/>
  <c r="AB27" i="77" s="1"/>
  <c r="L27" i="77"/>
  <c r="AK26" i="77"/>
  <c r="AA26" i="77"/>
  <c r="Y26" i="77"/>
  <c r="W26" i="77"/>
  <c r="AB26" i="77" s="1"/>
  <c r="L26" i="77"/>
  <c r="AK25" i="77"/>
  <c r="AB25" i="77"/>
  <c r="AA25" i="77"/>
  <c r="Y25" i="77"/>
  <c r="W25" i="77"/>
  <c r="L25" i="77"/>
  <c r="AK24" i="77"/>
  <c r="AB24" i="77"/>
  <c r="AA24" i="77"/>
  <c r="Y24" i="77"/>
  <c r="W24" i="77"/>
  <c r="L24" i="77"/>
  <c r="AK23" i="77"/>
  <c r="AA23" i="77"/>
  <c r="Y23" i="77"/>
  <c r="W23" i="77"/>
  <c r="AB23" i="77" s="1"/>
  <c r="L23" i="77"/>
  <c r="AK22" i="77"/>
  <c r="AA22" i="77"/>
  <c r="Y22" i="77"/>
  <c r="X22" i="77"/>
  <c r="X56" i="77" s="1"/>
  <c r="W22" i="77"/>
  <c r="AB22" i="77" s="1"/>
  <c r="L22" i="77"/>
  <c r="AK21" i="77"/>
  <c r="AF21" i="77"/>
  <c r="AA21" i="77"/>
  <c r="Y21" i="77"/>
  <c r="W21" i="77"/>
  <c r="W57" i="77" s="1"/>
  <c r="L21" i="77"/>
  <c r="L57" i="77" s="1"/>
  <c r="AK20" i="77"/>
  <c r="AB20" i="77"/>
  <c r="AA20" i="77"/>
  <c r="Y20" i="77"/>
  <c r="W20" i="77"/>
  <c r="L20" i="77"/>
  <c r="L55" i="77" s="1"/>
  <c r="AK19" i="77"/>
  <c r="AF19" i="77"/>
  <c r="AB19" i="77"/>
  <c r="AA19" i="77"/>
  <c r="Y19" i="77"/>
  <c r="W19" i="77"/>
  <c r="R19" i="77"/>
  <c r="R56" i="77" s="1"/>
  <c r="L19" i="77"/>
  <c r="AK18" i="77"/>
  <c r="AF18" i="77"/>
  <c r="AF56" i="77" s="1"/>
  <c r="AB18" i="77"/>
  <c r="AA18" i="77"/>
  <c r="Y18" i="77"/>
  <c r="W18" i="77"/>
  <c r="L18" i="77"/>
  <c r="AK17" i="77"/>
  <c r="AF17" i="77"/>
  <c r="AF42" i="77" s="1"/>
  <c r="AB17" i="77"/>
  <c r="AA17" i="77"/>
  <c r="Y17" i="77"/>
  <c r="W17" i="77"/>
  <c r="L17" i="77"/>
  <c r="AK16" i="77"/>
  <c r="AA16" i="77"/>
  <c r="Y16" i="77"/>
  <c r="W16" i="77"/>
  <c r="AB16" i="77" s="1"/>
  <c r="L16" i="77"/>
  <c r="AK15" i="77"/>
  <c r="AA15" i="77"/>
  <c r="Y15" i="77"/>
  <c r="W15" i="77"/>
  <c r="AB15" i="77" s="1"/>
  <c r="L15" i="77"/>
  <c r="L56" i="77" s="1"/>
  <c r="AK14" i="77"/>
  <c r="AB14" i="77"/>
  <c r="AA14" i="77"/>
  <c r="Y14" i="77"/>
  <c r="W14" i="77"/>
  <c r="L14" i="77"/>
  <c r="L42" i="77" s="1"/>
  <c r="AK13" i="77"/>
  <c r="AK42" i="77" s="1"/>
  <c r="AB13" i="77"/>
  <c r="AA13" i="77"/>
  <c r="Y13" i="77"/>
  <c r="Y42" i="77" s="1"/>
  <c r="W13" i="77"/>
  <c r="L13" i="77"/>
  <c r="AF12" i="77"/>
  <c r="AB12" i="77"/>
  <c r="AA12" i="77"/>
  <c r="Y12" i="77"/>
  <c r="AO9" i="77"/>
  <c r="AO43" i="77" s="1"/>
  <c r="AO50" i="77" s="1"/>
  <c r="AN9" i="77"/>
  <c r="AN43" i="77" s="1"/>
  <c r="AN50" i="77" s="1"/>
  <c r="AM9" i="77"/>
  <c r="AL9" i="77"/>
  <c r="AJ9" i="77"/>
  <c r="AI9" i="77"/>
  <c r="AI43" i="77" s="1"/>
  <c r="AH9" i="77"/>
  <c r="AH43" i="77" s="1"/>
  <c r="AG9" i="77"/>
  <c r="AG43" i="77" s="1"/>
  <c r="AF9" i="77"/>
  <c r="AF43" i="77" s="1"/>
  <c r="AE9" i="77"/>
  <c r="AD9" i="77"/>
  <c r="Z9" i="77"/>
  <c r="AB9" i="77" s="1"/>
  <c r="X9" i="77"/>
  <c r="X43" i="77" s="1"/>
  <c r="V9" i="77"/>
  <c r="U9" i="77"/>
  <c r="T9" i="77"/>
  <c r="S9" i="77"/>
  <c r="R9" i="77"/>
  <c r="R43" i="77" s="1"/>
  <c r="Q9" i="77"/>
  <c r="Q43" i="77" s="1"/>
  <c r="P9" i="77"/>
  <c r="P43" i="77" s="1"/>
  <c r="O9" i="77"/>
  <c r="O43" i="77" s="1"/>
  <c r="N9" i="77"/>
  <c r="M9" i="77"/>
  <c r="K9" i="77"/>
  <c r="J9" i="77"/>
  <c r="J43" i="77" s="1"/>
  <c r="I9" i="77"/>
  <c r="I43" i="77" s="1"/>
  <c r="H9" i="77"/>
  <c r="H43" i="77" s="1"/>
  <c r="G9" i="77"/>
  <c r="G43" i="77" s="1"/>
  <c r="F9" i="77"/>
  <c r="E9" i="77"/>
  <c r="D9" i="77"/>
  <c r="AK8" i="77"/>
  <c r="AA8" i="77"/>
  <c r="Y8" i="77"/>
  <c r="W8" i="77"/>
  <c r="W9" i="77" s="1"/>
  <c r="L8" i="77"/>
  <c r="AK7" i="77"/>
  <c r="AF7" i="77"/>
  <c r="AA7" i="77"/>
  <c r="Y7" i="77"/>
  <c r="Y9" i="77" s="1"/>
  <c r="Y43" i="77" s="1"/>
  <c r="W7" i="77"/>
  <c r="AB7" i="77" s="1"/>
  <c r="L7" i="77"/>
  <c r="AK6" i="77"/>
  <c r="AA6" i="77"/>
  <c r="Y6" i="77"/>
  <c r="W6" i="77"/>
  <c r="AB6" i="77" s="1"/>
  <c r="L6" i="77"/>
  <c r="AK5" i="77"/>
  <c r="AB5" i="77"/>
  <c r="AA5" i="77"/>
  <c r="Y5" i="77"/>
  <c r="W5" i="77"/>
  <c r="L5" i="77"/>
  <c r="L53" i="77" s="1"/>
  <c r="AK4" i="77"/>
  <c r="AK9" i="77" s="1"/>
  <c r="W4" i="77"/>
  <c r="AB4" i="77" s="1"/>
  <c r="L4" i="77"/>
  <c r="L9" i="77" s="1"/>
  <c r="L43" i="77" s="1"/>
  <c r="J10" i="2"/>
  <c r="H10" i="2"/>
  <c r="I10" i="2" s="1"/>
  <c r="J9" i="2"/>
  <c r="H9" i="2"/>
  <c r="I9" i="2" s="1"/>
  <c r="J8" i="2"/>
  <c r="H8" i="2"/>
  <c r="I8" i="2" s="1"/>
  <c r="J7" i="2"/>
  <c r="I7" i="2"/>
  <c r="J6" i="2"/>
  <c r="H6" i="2"/>
  <c r="I6" i="2" s="1"/>
  <c r="J5" i="2"/>
  <c r="H5" i="2"/>
  <c r="I5" i="2" s="1"/>
  <c r="E54" i="77" l="1"/>
  <c r="E50" i="77"/>
  <c r="D50" i="77"/>
  <c r="AK43" i="77"/>
  <c r="AB53" i="77"/>
  <c r="W42" i="77"/>
  <c r="W43" i="77" s="1"/>
  <c r="AB55" i="77"/>
  <c r="W30" i="77"/>
  <c r="AB30" i="77" s="1"/>
  <c r="W53" i="77"/>
  <c r="AB8" i="77"/>
  <c r="AA28" i="77"/>
  <c r="AB33" i="77"/>
  <c r="AA35" i="77"/>
  <c r="N56" i="77"/>
  <c r="AA29" i="77"/>
  <c r="AB40" i="77"/>
  <c r="AB21" i="77"/>
  <c r="L52" i="77"/>
  <c r="AB52" i="77"/>
  <c r="AA53" i="77"/>
  <c r="AA55" i="77"/>
  <c r="AF57" i="77"/>
  <c r="Z56" i="77"/>
  <c r="W29" i="77"/>
  <c r="AB29" i="77" s="1"/>
  <c r="W52" i="77"/>
  <c r="T56" i="77"/>
  <c r="U56" i="77"/>
  <c r="Z42" i="77"/>
  <c r="AA9" i="77"/>
  <c r="AB42" i="77" l="1"/>
  <c r="AA42" i="77"/>
  <c r="AA56" i="77"/>
  <c r="W56" i="77"/>
  <c r="AB56" i="77" s="1"/>
  <c r="Y56" i="77"/>
  <c r="Z43" i="77"/>
  <c r="AB43" i="77" l="1"/>
  <c r="AA43" i="77"/>
  <c r="D133" i="76" l="1"/>
  <c r="D124" i="76"/>
  <c r="F122" i="76"/>
  <c r="F121" i="76"/>
  <c r="F120" i="76"/>
  <c r="F119" i="76"/>
  <c r="F118" i="76"/>
  <c r="F117" i="76"/>
  <c r="F116" i="76"/>
  <c r="F115" i="76"/>
  <c r="F114" i="76"/>
  <c r="F113" i="76"/>
  <c r="F112" i="76"/>
  <c r="F111" i="76"/>
  <c r="F110" i="76"/>
  <c r="F109" i="76"/>
  <c r="F108" i="76"/>
  <c r="F107" i="76"/>
  <c r="F106" i="76"/>
  <c r="F105" i="76"/>
  <c r="F104" i="76"/>
  <c r="F103" i="76"/>
  <c r="F102" i="76"/>
  <c r="F101" i="76"/>
  <c r="F100" i="76"/>
  <c r="F99" i="76"/>
  <c r="F98" i="76"/>
  <c r="F97" i="76"/>
  <c r="F96" i="76"/>
  <c r="F95" i="76"/>
  <c r="F94" i="76"/>
  <c r="F93" i="76"/>
  <c r="F92" i="76"/>
  <c r="F91" i="76"/>
  <c r="F90" i="76"/>
  <c r="F89" i="76"/>
  <c r="F88" i="76"/>
  <c r="F87" i="76"/>
  <c r="F86" i="76"/>
  <c r="F85" i="76"/>
  <c r="F84" i="76"/>
  <c r="F83" i="76"/>
  <c r="F82" i="76"/>
  <c r="F81" i="76"/>
  <c r="F80" i="76"/>
  <c r="F79" i="76"/>
  <c r="F78" i="76"/>
  <c r="F77" i="76"/>
  <c r="F76" i="76"/>
  <c r="F75" i="76"/>
  <c r="F74" i="76"/>
  <c r="K75" i="76"/>
  <c r="F73" i="76"/>
  <c r="F72" i="76"/>
  <c r="F71" i="76"/>
  <c r="F70" i="76"/>
  <c r="F69" i="76"/>
  <c r="F68" i="76"/>
  <c r="F67" i="76"/>
  <c r="I66" i="76"/>
  <c r="I67" i="76" s="1"/>
  <c r="I68" i="76" s="1"/>
  <c r="I69" i="76" s="1"/>
  <c r="I73" i="76" s="1"/>
  <c r="I74" i="76" s="1"/>
  <c r="F66" i="76"/>
  <c r="F65" i="76"/>
  <c r="F64" i="76"/>
  <c r="F63" i="76"/>
  <c r="F62" i="76"/>
  <c r="F61" i="76"/>
  <c r="F60" i="76"/>
  <c r="F59" i="76"/>
  <c r="F58" i="76"/>
  <c r="K57" i="76"/>
  <c r="F57" i="76"/>
  <c r="F56" i="76"/>
  <c r="M55" i="76"/>
  <c r="F55" i="76"/>
  <c r="M54" i="76"/>
  <c r="F54" i="76"/>
  <c r="Z53" i="76"/>
  <c r="M53" i="76"/>
  <c r="F53" i="76"/>
  <c r="M52" i="76"/>
  <c r="F52" i="76"/>
  <c r="X51" i="76"/>
  <c r="X52" i="76" s="1"/>
  <c r="M51" i="76"/>
  <c r="F51" i="76"/>
  <c r="M50" i="76"/>
  <c r="F50" i="76"/>
  <c r="M49" i="76"/>
  <c r="F49" i="76"/>
  <c r="M48" i="76"/>
  <c r="F48" i="76"/>
  <c r="M47" i="76"/>
  <c r="F47" i="76"/>
  <c r="M46" i="76"/>
  <c r="F46" i="76"/>
  <c r="M45" i="76"/>
  <c r="F45" i="76"/>
  <c r="Z44" i="76"/>
  <c r="M44" i="76"/>
  <c r="F44" i="76"/>
  <c r="M43" i="76"/>
  <c r="F43" i="76"/>
  <c r="X42" i="76"/>
  <c r="X43" i="76" s="1"/>
  <c r="M42" i="76"/>
  <c r="F42" i="76"/>
  <c r="M41" i="76"/>
  <c r="F41" i="76"/>
  <c r="AB40" i="76"/>
  <c r="M40" i="76"/>
  <c r="F40" i="76"/>
  <c r="AB39" i="76"/>
  <c r="M39" i="76"/>
  <c r="F39" i="76"/>
  <c r="AC38" i="76"/>
  <c r="AA38" i="76"/>
  <c r="AB38" i="76" s="1"/>
  <c r="M38" i="76"/>
  <c r="F38" i="76"/>
  <c r="AB37" i="76"/>
  <c r="S37" i="76"/>
  <c r="M37" i="76"/>
  <c r="F37" i="76"/>
  <c r="AA36" i="76"/>
  <c r="AB36" i="76" s="1"/>
  <c r="U36" i="76"/>
  <c r="M36" i="76"/>
  <c r="F36" i="76"/>
  <c r="AC35" i="76"/>
  <c r="AC44" i="76" s="1"/>
  <c r="AA35" i="76"/>
  <c r="AB35" i="76" s="1"/>
  <c r="X35" i="76"/>
  <c r="X36" i="76" s="1"/>
  <c r="X37" i="76" s="1"/>
  <c r="X38" i="76" s="1"/>
  <c r="U35" i="76"/>
  <c r="M35" i="76"/>
  <c r="F35" i="76"/>
  <c r="U34" i="76"/>
  <c r="M34" i="76"/>
  <c r="F34" i="76"/>
  <c r="U33" i="76"/>
  <c r="M33" i="76"/>
  <c r="F33" i="76"/>
  <c r="U32" i="76"/>
  <c r="M32" i="76"/>
  <c r="G32" i="76"/>
  <c r="E32" i="76"/>
  <c r="F32" i="76" s="1"/>
  <c r="U31" i="76"/>
  <c r="N31" i="76"/>
  <c r="L31" i="76"/>
  <c r="M31" i="76" s="1"/>
  <c r="F31" i="76"/>
  <c r="U30" i="76"/>
  <c r="M30" i="76"/>
  <c r="F30" i="76"/>
  <c r="U29" i="76"/>
  <c r="M29" i="76"/>
  <c r="F29" i="76"/>
  <c r="Z28" i="76"/>
  <c r="U28" i="76"/>
  <c r="L28" i="76"/>
  <c r="M28" i="76" s="1"/>
  <c r="F28" i="76"/>
  <c r="U27" i="76"/>
  <c r="M27" i="76"/>
  <c r="F27" i="76"/>
  <c r="V26" i="76"/>
  <c r="U26" i="76"/>
  <c r="M26" i="76"/>
  <c r="F26" i="76"/>
  <c r="U25" i="76"/>
  <c r="M25" i="76"/>
  <c r="E25" i="76"/>
  <c r="F25" i="76" s="1"/>
  <c r="U24" i="76"/>
  <c r="M24" i="76"/>
  <c r="F24" i="76"/>
  <c r="U23" i="76"/>
  <c r="M23" i="76"/>
  <c r="F23" i="76"/>
  <c r="U22" i="76"/>
  <c r="M22" i="76"/>
  <c r="F22" i="76"/>
  <c r="U21" i="76"/>
  <c r="M21" i="76"/>
  <c r="F21" i="76"/>
  <c r="U20" i="76"/>
  <c r="M20" i="76"/>
  <c r="F20" i="76"/>
  <c r="U19" i="76"/>
  <c r="M19" i="76"/>
  <c r="F19" i="76"/>
  <c r="V18" i="76"/>
  <c r="T18" i="76"/>
  <c r="U18" i="76" s="1"/>
  <c r="M18" i="76"/>
  <c r="F18" i="76"/>
  <c r="V17" i="76"/>
  <c r="T17" i="76"/>
  <c r="U17" i="76" s="1"/>
  <c r="M17" i="76"/>
  <c r="F17" i="76"/>
  <c r="Z16" i="76"/>
  <c r="U16" i="76"/>
  <c r="M16" i="76"/>
  <c r="F16" i="76"/>
  <c r="U15" i="76"/>
  <c r="M15" i="76"/>
  <c r="F15" i="76"/>
  <c r="AB14" i="76"/>
  <c r="U14" i="76"/>
  <c r="M14" i="76"/>
  <c r="F14" i="76"/>
  <c r="AB13" i="76"/>
  <c r="U13" i="76"/>
  <c r="N13" i="76"/>
  <c r="L13" i="76"/>
  <c r="M13" i="76" s="1"/>
  <c r="F13" i="76"/>
  <c r="AB12" i="76"/>
  <c r="V12" i="76"/>
  <c r="T12" i="76"/>
  <c r="U12" i="76" s="1"/>
  <c r="M12" i="76"/>
  <c r="F12" i="76"/>
  <c r="AB11" i="76"/>
  <c r="U11" i="76"/>
  <c r="M11" i="76"/>
  <c r="F11" i="76"/>
  <c r="AB10" i="76"/>
  <c r="U10" i="76"/>
  <c r="M7" i="76"/>
  <c r="F10" i="76"/>
  <c r="AB9" i="76"/>
  <c r="U9" i="76"/>
  <c r="M10" i="76"/>
  <c r="F9" i="76"/>
  <c r="AB8" i="76"/>
  <c r="U8" i="76"/>
  <c r="M9" i="76"/>
  <c r="I8" i="76"/>
  <c r="I9" i="76" s="1"/>
  <c r="I10" i="76" s="1"/>
  <c r="I11" i="76" s="1"/>
  <c r="I12" i="76" s="1"/>
  <c r="I13" i="76" s="1"/>
  <c r="I14" i="76" s="1"/>
  <c r="I15" i="76" s="1"/>
  <c r="I16" i="76" s="1"/>
  <c r="I17" i="76" s="1"/>
  <c r="I18" i="76" s="1"/>
  <c r="I19" i="76" s="1"/>
  <c r="I20" i="76" s="1"/>
  <c r="I21" i="76" s="1"/>
  <c r="I22" i="76" s="1"/>
  <c r="I23" i="76" s="1"/>
  <c r="I24" i="76" s="1"/>
  <c r="I25" i="76" s="1"/>
  <c r="I26" i="76" s="1"/>
  <c r="I27" i="76" s="1"/>
  <c r="I28" i="76" s="1"/>
  <c r="I29" i="76" s="1"/>
  <c r="I30" i="76" s="1"/>
  <c r="I31" i="76" s="1"/>
  <c r="I32" i="76" s="1"/>
  <c r="I33" i="76" s="1"/>
  <c r="I34" i="76" s="1"/>
  <c r="I35" i="76" s="1"/>
  <c r="I36" i="76" s="1"/>
  <c r="I37" i="76" s="1"/>
  <c r="I38" i="76" s="1"/>
  <c r="I39" i="76" s="1"/>
  <c r="I40" i="76" s="1"/>
  <c r="I41" i="76" s="1"/>
  <c r="I42" i="76" s="1"/>
  <c r="I43" i="76" s="1"/>
  <c r="I44" i="76" s="1"/>
  <c r="I45" i="76" s="1"/>
  <c r="I46" i="76" s="1"/>
  <c r="I47" i="76" s="1"/>
  <c r="I48" i="76" s="1"/>
  <c r="I49" i="76" s="1"/>
  <c r="I50" i="76" s="1"/>
  <c r="I51" i="76" s="1"/>
  <c r="I52" i="76" s="1"/>
  <c r="I53" i="76" s="1"/>
  <c r="I54" i="76" s="1"/>
  <c r="I55" i="76" s="1"/>
  <c r="I56" i="76" s="1"/>
  <c r="F8" i="76"/>
  <c r="AC7" i="76"/>
  <c r="AC16" i="76" s="1"/>
  <c r="AA7" i="76"/>
  <c r="AB7" i="76" s="1"/>
  <c r="X7" i="76"/>
  <c r="X8" i="76" s="1"/>
  <c r="X9" i="76" s="1"/>
  <c r="X10" i="76" s="1"/>
  <c r="X11" i="76" s="1"/>
  <c r="X12" i="76" s="1"/>
  <c r="X13" i="76" s="1"/>
  <c r="X14" i="76" s="1"/>
  <c r="X15" i="76" s="1"/>
  <c r="T7" i="76"/>
  <c r="U7" i="76" s="1"/>
  <c r="Q7" i="76"/>
  <c r="Q8" i="76" s="1"/>
  <c r="Q9" i="76" s="1"/>
  <c r="Q10" i="76" s="1"/>
  <c r="Q11" i="76" s="1"/>
  <c r="Q12" i="76" s="1"/>
  <c r="Q13" i="76" s="1"/>
  <c r="Q14" i="76" s="1"/>
  <c r="Q15" i="76" s="1"/>
  <c r="Q16" i="76" s="1"/>
  <c r="Q17" i="76" s="1"/>
  <c r="Q18" i="76" s="1"/>
  <c r="Q19" i="76" s="1"/>
  <c r="Q20" i="76" s="1"/>
  <c r="Q21" i="76" s="1"/>
  <c r="Q22" i="76" s="1"/>
  <c r="Q23" i="76" s="1"/>
  <c r="Q24" i="76" s="1"/>
  <c r="Q25" i="76" s="1"/>
  <c r="Q26" i="76" s="1"/>
  <c r="Q27" i="76" s="1"/>
  <c r="Q28" i="76" s="1"/>
  <c r="Q29" i="76" s="1"/>
  <c r="Q30" i="76" s="1"/>
  <c r="Q31" i="76" s="1"/>
  <c r="Q32" i="76" s="1"/>
  <c r="Q33" i="76" s="1"/>
  <c r="Q34" i="76" s="1"/>
  <c r="Q35" i="76" s="1"/>
  <c r="M8" i="76"/>
  <c r="G7" i="76"/>
  <c r="G124" i="76" s="1"/>
  <c r="E7" i="76"/>
  <c r="F7" i="76" s="1"/>
  <c r="AB6" i="76"/>
  <c r="T6" i="76"/>
  <c r="U6" i="76" s="1"/>
  <c r="N6" i="76"/>
  <c r="L6" i="76"/>
  <c r="M6" i="76" s="1"/>
  <c r="F6" i="76"/>
  <c r="N149" i="75"/>
  <c r="E9" i="75" s="1"/>
  <c r="F9" i="75" s="1"/>
  <c r="Q148" i="75"/>
  <c r="O148" i="75"/>
  <c r="P148" i="75" s="1"/>
  <c r="P147" i="75"/>
  <c r="Q146" i="75"/>
  <c r="O146" i="75"/>
  <c r="P146" i="75" s="1"/>
  <c r="Q145" i="75"/>
  <c r="O145" i="75"/>
  <c r="P145" i="75" s="1"/>
  <c r="P124" i="75"/>
  <c r="Q144" i="75"/>
  <c r="O144" i="75"/>
  <c r="P144" i="75" s="1"/>
  <c r="Q143" i="75"/>
  <c r="O143" i="75"/>
  <c r="P143" i="75" s="1"/>
  <c r="Q142" i="75"/>
  <c r="O142" i="75"/>
  <c r="P142" i="75" s="1"/>
  <c r="Q141" i="75"/>
  <c r="O141" i="75"/>
  <c r="P141" i="75" s="1"/>
  <c r="Q140" i="75"/>
  <c r="O140" i="75"/>
  <c r="P140" i="75" s="1"/>
  <c r="Q139" i="75"/>
  <c r="O139" i="75"/>
  <c r="P139" i="75" s="1"/>
  <c r="Q138" i="75"/>
  <c r="O138" i="75"/>
  <c r="P138" i="75" s="1"/>
  <c r="P137" i="75"/>
  <c r="Q136" i="75"/>
  <c r="O136" i="75"/>
  <c r="P136" i="75" s="1"/>
  <c r="P135" i="75"/>
  <c r="P134" i="75"/>
  <c r="P123" i="75"/>
  <c r="Q133" i="75"/>
  <c r="O133" i="75"/>
  <c r="P133" i="75" s="1"/>
  <c r="Q132" i="75"/>
  <c r="O132" i="75"/>
  <c r="P132" i="75" s="1"/>
  <c r="Q131" i="75"/>
  <c r="O131" i="75"/>
  <c r="P131" i="75" s="1"/>
  <c r="Q130" i="75"/>
  <c r="O130" i="75"/>
  <c r="P130" i="75" s="1"/>
  <c r="Q129" i="75"/>
  <c r="O129" i="75"/>
  <c r="P129" i="75" s="1"/>
  <c r="Q128" i="75"/>
  <c r="O128" i="75"/>
  <c r="P128" i="75" s="1"/>
  <c r="Q127" i="75"/>
  <c r="O127" i="75"/>
  <c r="P127" i="75" s="1"/>
  <c r="F122" i="75"/>
  <c r="G122" i="75" s="1"/>
  <c r="Q126" i="75"/>
  <c r="O126" i="75"/>
  <c r="P126" i="75" s="1"/>
  <c r="F121" i="75"/>
  <c r="G121" i="75" s="1"/>
  <c r="Q125" i="75"/>
  <c r="O125" i="75"/>
  <c r="P125" i="75" s="1"/>
  <c r="Q119" i="75"/>
  <c r="O119" i="75"/>
  <c r="P119" i="75" s="1"/>
  <c r="Q118" i="75"/>
  <c r="O118" i="75"/>
  <c r="P118" i="75" s="1"/>
  <c r="Q117" i="75"/>
  <c r="O117" i="75"/>
  <c r="P117" i="75" s="1"/>
  <c r="Q116" i="75"/>
  <c r="O116" i="75"/>
  <c r="P116" i="75" s="1"/>
  <c r="Q115" i="75"/>
  <c r="O115" i="75"/>
  <c r="P115" i="75" s="1"/>
  <c r="Q114" i="75"/>
  <c r="O114" i="75"/>
  <c r="P114" i="75" s="1"/>
  <c r="Q113" i="75"/>
  <c r="O113" i="75"/>
  <c r="P113" i="75" s="1"/>
  <c r="Q112" i="75"/>
  <c r="O112" i="75"/>
  <c r="P112" i="75" s="1"/>
  <c r="H112" i="75"/>
  <c r="E112" i="75"/>
  <c r="E19" i="75" s="1"/>
  <c r="F19" i="75" s="1"/>
  <c r="Q111" i="75"/>
  <c r="O111" i="75"/>
  <c r="P111" i="75" s="1"/>
  <c r="G111" i="75"/>
  <c r="Q110" i="75"/>
  <c r="O110" i="75"/>
  <c r="P110" i="75" s="1"/>
  <c r="F110" i="75"/>
  <c r="G110" i="75" s="1"/>
  <c r="Q109" i="75"/>
  <c r="O109" i="75"/>
  <c r="P109" i="75" s="1"/>
  <c r="G109" i="75"/>
  <c r="Q108" i="75"/>
  <c r="O108" i="75"/>
  <c r="P108" i="75" s="1"/>
  <c r="F108" i="75"/>
  <c r="G108" i="75" s="1"/>
  <c r="Q107" i="75"/>
  <c r="O107" i="75"/>
  <c r="P107" i="75" s="1"/>
  <c r="G107" i="75"/>
  <c r="Q106" i="75"/>
  <c r="O106" i="75"/>
  <c r="P106" i="75" s="1"/>
  <c r="G106" i="75"/>
  <c r="Q105" i="75"/>
  <c r="O105" i="75"/>
  <c r="P105" i="75" s="1"/>
  <c r="G105" i="75"/>
  <c r="B105" i="75"/>
  <c r="B106" i="75" s="1"/>
  <c r="B107" i="75" s="1"/>
  <c r="B108" i="75" s="1"/>
  <c r="B109" i="75" s="1"/>
  <c r="B110" i="75" s="1"/>
  <c r="B111" i="75" s="1"/>
  <c r="Q104" i="75"/>
  <c r="O104" i="75"/>
  <c r="P104" i="75" s="1"/>
  <c r="G104" i="75"/>
  <c r="Q103" i="75"/>
  <c r="O103" i="75"/>
  <c r="P103" i="75" s="1"/>
  <c r="Q102" i="75"/>
  <c r="O102" i="75"/>
  <c r="P102" i="75" s="1"/>
  <c r="Q101" i="75"/>
  <c r="O101" i="75"/>
  <c r="P101" i="75" s="1"/>
  <c r="E101" i="75"/>
  <c r="E114" i="75" s="1"/>
  <c r="Q100" i="75"/>
  <c r="O100" i="75"/>
  <c r="P100" i="75" s="1"/>
  <c r="H100" i="75"/>
  <c r="F100" i="75"/>
  <c r="G100" i="75" s="1"/>
  <c r="Q99" i="75"/>
  <c r="O99" i="75"/>
  <c r="P99" i="75" s="1"/>
  <c r="H99" i="75"/>
  <c r="F99" i="75"/>
  <c r="G99" i="75" s="1"/>
  <c r="V98" i="75"/>
  <c r="Q98" i="75"/>
  <c r="O98" i="75"/>
  <c r="P98" i="75" s="1"/>
  <c r="H98" i="75"/>
  <c r="F98" i="75"/>
  <c r="G98" i="75" s="1"/>
  <c r="X97" i="75"/>
  <c r="Q97" i="75"/>
  <c r="O97" i="75"/>
  <c r="P97" i="75" s="1"/>
  <c r="H97" i="75"/>
  <c r="F97" i="75"/>
  <c r="G97" i="75" s="1"/>
  <c r="Y96" i="75"/>
  <c r="W96" i="75"/>
  <c r="X96" i="75" s="1"/>
  <c r="Q96" i="75"/>
  <c r="O96" i="75"/>
  <c r="P96" i="75" s="1"/>
  <c r="H96" i="75"/>
  <c r="F96" i="75"/>
  <c r="G96" i="75" s="1"/>
  <c r="Y95" i="75"/>
  <c r="W95" i="75"/>
  <c r="X95" i="75" s="1"/>
  <c r="Q95" i="75"/>
  <c r="O95" i="75"/>
  <c r="P95" i="75" s="1"/>
  <c r="H95" i="75"/>
  <c r="F95" i="75"/>
  <c r="G95" i="75" s="1"/>
  <c r="Y94" i="75"/>
  <c r="W94" i="75"/>
  <c r="X94" i="75" s="1"/>
  <c r="Q94" i="75"/>
  <c r="O94" i="75"/>
  <c r="P94" i="75" s="1"/>
  <c r="H94" i="75"/>
  <c r="F94" i="75"/>
  <c r="G94" i="75" s="1"/>
  <c r="Y93" i="75"/>
  <c r="W93" i="75"/>
  <c r="X93" i="75" s="1"/>
  <c r="Q93" i="75"/>
  <c r="O93" i="75"/>
  <c r="P93" i="75" s="1"/>
  <c r="X92" i="75"/>
  <c r="Q92" i="75"/>
  <c r="O92" i="75"/>
  <c r="P92" i="75" s="1"/>
  <c r="H93" i="75"/>
  <c r="F93" i="75"/>
  <c r="G93" i="75" s="1"/>
  <c r="Y91" i="75"/>
  <c r="W91" i="75"/>
  <c r="X91" i="75" s="1"/>
  <c r="Q91" i="75"/>
  <c r="O91" i="75"/>
  <c r="P91" i="75" s="1"/>
  <c r="H92" i="75"/>
  <c r="F92" i="75"/>
  <c r="G92" i="75" s="1"/>
  <c r="Y90" i="75"/>
  <c r="W90" i="75"/>
  <c r="X90" i="75" s="1"/>
  <c r="Q90" i="75"/>
  <c r="O90" i="75"/>
  <c r="P90" i="75" s="1"/>
  <c r="H91" i="75"/>
  <c r="F91" i="75"/>
  <c r="G91" i="75" s="1"/>
  <c r="Y89" i="75"/>
  <c r="W89" i="75"/>
  <c r="X89" i="75" s="1"/>
  <c r="Q89" i="75"/>
  <c r="O89" i="75"/>
  <c r="P89" i="75" s="1"/>
  <c r="H89" i="75"/>
  <c r="F89" i="75"/>
  <c r="G89" i="75" s="1"/>
  <c r="Y88" i="75"/>
  <c r="W88" i="75"/>
  <c r="X88" i="75" s="1"/>
  <c r="Q88" i="75"/>
  <c r="O88" i="75"/>
  <c r="P88" i="75" s="1"/>
  <c r="H88" i="75"/>
  <c r="F88" i="75"/>
  <c r="G88" i="75" s="1"/>
  <c r="Y87" i="75"/>
  <c r="W87" i="75"/>
  <c r="X87" i="75" s="1"/>
  <c r="Q87" i="75"/>
  <c r="O87" i="75"/>
  <c r="P87" i="75" s="1"/>
  <c r="H87" i="75"/>
  <c r="F87" i="75"/>
  <c r="G87" i="75" s="1"/>
  <c r="X86" i="75"/>
  <c r="Q86" i="75"/>
  <c r="O86" i="75"/>
  <c r="P86" i="75" s="1"/>
  <c r="H86" i="75"/>
  <c r="F86" i="75"/>
  <c r="G86" i="75" s="1"/>
  <c r="Y85" i="75"/>
  <c r="W85" i="75"/>
  <c r="X85" i="75" s="1"/>
  <c r="Q85" i="75"/>
  <c r="O85" i="75"/>
  <c r="P85" i="75" s="1"/>
  <c r="H85" i="75"/>
  <c r="F85" i="75"/>
  <c r="G85" i="75" s="1"/>
  <c r="Y84" i="75"/>
  <c r="W84" i="75"/>
  <c r="X84" i="75" s="1"/>
  <c r="Q84" i="75"/>
  <c r="O84" i="75"/>
  <c r="P84" i="75" s="1"/>
  <c r="H84" i="75"/>
  <c r="F84" i="75"/>
  <c r="G84" i="75" s="1"/>
  <c r="Y83" i="75"/>
  <c r="W83" i="75"/>
  <c r="X83" i="75" s="1"/>
  <c r="Q83" i="75"/>
  <c r="O83" i="75"/>
  <c r="P83" i="75" s="1"/>
  <c r="H83" i="75"/>
  <c r="F83" i="75"/>
  <c r="G83" i="75" s="1"/>
  <c r="Y82" i="75"/>
  <c r="W82" i="75"/>
  <c r="X82" i="75" s="1"/>
  <c r="Q82" i="75"/>
  <c r="O82" i="75"/>
  <c r="P82" i="75" s="1"/>
  <c r="H82" i="75"/>
  <c r="F82" i="75"/>
  <c r="G82" i="75" s="1"/>
  <c r="Y81" i="75"/>
  <c r="W81" i="75"/>
  <c r="X81" i="75" s="1"/>
  <c r="Q81" i="75"/>
  <c r="O81" i="75"/>
  <c r="P81" i="75" s="1"/>
  <c r="H81" i="75"/>
  <c r="F81" i="75"/>
  <c r="G81" i="75" s="1"/>
  <c r="Y80" i="75"/>
  <c r="W80" i="75"/>
  <c r="X80" i="75" s="1"/>
  <c r="Q80" i="75"/>
  <c r="O80" i="75"/>
  <c r="P80" i="75" s="1"/>
  <c r="H80" i="75"/>
  <c r="F80" i="75"/>
  <c r="G80" i="75" s="1"/>
  <c r="Y79" i="75"/>
  <c r="W79" i="75"/>
  <c r="X79" i="75" s="1"/>
  <c r="Q79" i="75"/>
  <c r="O79" i="75"/>
  <c r="P79" i="75" s="1"/>
  <c r="H79" i="75"/>
  <c r="F79" i="75"/>
  <c r="B79" i="75"/>
  <c r="B80" i="75" s="1"/>
  <c r="B81" i="75" s="1"/>
  <c r="B82" i="75" s="1"/>
  <c r="Y78" i="75"/>
  <c r="W78" i="75"/>
  <c r="X78" i="75" s="1"/>
  <c r="Q78" i="75"/>
  <c r="O78" i="75"/>
  <c r="P78" i="75" s="1"/>
  <c r="H78" i="75"/>
  <c r="F78" i="75"/>
  <c r="G78" i="75" s="1"/>
  <c r="Y77" i="75"/>
  <c r="W77" i="75"/>
  <c r="X77" i="75" s="1"/>
  <c r="Q77" i="75"/>
  <c r="O77" i="75"/>
  <c r="P77" i="75" s="1"/>
  <c r="Y76" i="75"/>
  <c r="W76" i="75"/>
  <c r="X76" i="75" s="1"/>
  <c r="Q76" i="75"/>
  <c r="O76" i="75"/>
  <c r="P76" i="75" s="1"/>
  <c r="Y75" i="75"/>
  <c r="W75" i="75"/>
  <c r="X75" i="75" s="1"/>
  <c r="Q75" i="75"/>
  <c r="O75" i="75"/>
  <c r="P75" i="75" s="1"/>
  <c r="Y74" i="75"/>
  <c r="W74" i="75"/>
  <c r="X74" i="75" s="1"/>
  <c r="Q74" i="75"/>
  <c r="O74" i="75"/>
  <c r="P74" i="75" s="1"/>
  <c r="Y73" i="75"/>
  <c r="W73" i="75"/>
  <c r="X73" i="75" s="1"/>
  <c r="Q73" i="75"/>
  <c r="O73" i="75"/>
  <c r="P73" i="75" s="1"/>
  <c r="Y72" i="75"/>
  <c r="W72" i="75"/>
  <c r="X72" i="75" s="1"/>
  <c r="P72" i="75"/>
  <c r="Y71" i="75"/>
  <c r="W71" i="75"/>
  <c r="X71" i="75" s="1"/>
  <c r="Q71" i="75"/>
  <c r="O71" i="75"/>
  <c r="P71" i="75" s="1"/>
  <c r="E71" i="75"/>
  <c r="Y70" i="75"/>
  <c r="W70" i="75"/>
  <c r="X70" i="75" s="1"/>
  <c r="Q70" i="75"/>
  <c r="O70" i="75"/>
  <c r="P70" i="75" s="1"/>
  <c r="H70" i="75"/>
  <c r="F70" i="75"/>
  <c r="G70" i="75" s="1"/>
  <c r="Y69" i="75"/>
  <c r="W69" i="75"/>
  <c r="X69" i="75" s="1"/>
  <c r="Q69" i="75"/>
  <c r="O69" i="75"/>
  <c r="P69" i="75" s="1"/>
  <c r="H69" i="75"/>
  <c r="F69" i="75"/>
  <c r="G69" i="75" s="1"/>
  <c r="Y68" i="75"/>
  <c r="W68" i="75"/>
  <c r="X68" i="75" s="1"/>
  <c r="Q68" i="75"/>
  <c r="O68" i="75"/>
  <c r="P68" i="75" s="1"/>
  <c r="H68" i="75"/>
  <c r="F68" i="75"/>
  <c r="G68" i="75" s="1"/>
  <c r="Y67" i="75"/>
  <c r="W67" i="75"/>
  <c r="X67" i="75" s="1"/>
  <c r="Q67" i="75"/>
  <c r="O67" i="75"/>
  <c r="P67" i="75" s="1"/>
  <c r="Y66" i="75"/>
  <c r="W66" i="75"/>
  <c r="X66" i="75" s="1"/>
  <c r="Q66" i="75"/>
  <c r="O66" i="75"/>
  <c r="P66" i="75" s="1"/>
  <c r="Y65" i="75"/>
  <c r="W65" i="75"/>
  <c r="X65" i="75" s="1"/>
  <c r="Q65" i="75"/>
  <c r="O65" i="75"/>
  <c r="P65" i="75" s="1"/>
  <c r="Y64" i="75"/>
  <c r="W64" i="75"/>
  <c r="X64" i="75" s="1"/>
  <c r="P64" i="75"/>
  <c r="Y63" i="75"/>
  <c r="W63" i="75"/>
  <c r="X63" i="75" s="1"/>
  <c r="Q63" i="75"/>
  <c r="O63" i="75"/>
  <c r="P63" i="75" s="1"/>
  <c r="Y62" i="75"/>
  <c r="W62" i="75"/>
  <c r="X62" i="75" s="1"/>
  <c r="Q62" i="75"/>
  <c r="O62" i="75"/>
  <c r="P62" i="75" s="1"/>
  <c r="Y61" i="75"/>
  <c r="W61" i="75"/>
  <c r="X61" i="75" s="1"/>
  <c r="Q61" i="75"/>
  <c r="O61" i="75"/>
  <c r="P61" i="75" s="1"/>
  <c r="Y60" i="75"/>
  <c r="W60" i="75"/>
  <c r="X60" i="75" s="1"/>
  <c r="Q60" i="75"/>
  <c r="O60" i="75"/>
  <c r="P60" i="75" s="1"/>
  <c r="Y59" i="75"/>
  <c r="W59" i="75"/>
  <c r="X59" i="75" s="1"/>
  <c r="Q59" i="75"/>
  <c r="O59" i="75"/>
  <c r="P59" i="75" s="1"/>
  <c r="Y58" i="75"/>
  <c r="W58" i="75"/>
  <c r="X58" i="75" s="1"/>
  <c r="Q58" i="75"/>
  <c r="O58" i="75"/>
  <c r="P58" i="75" s="1"/>
  <c r="Y57" i="75"/>
  <c r="W57" i="75"/>
  <c r="X57" i="75" s="1"/>
  <c r="Q57" i="75"/>
  <c r="O57" i="75"/>
  <c r="Y56" i="75"/>
  <c r="W56" i="75"/>
  <c r="X56" i="75" s="1"/>
  <c r="Q56" i="75"/>
  <c r="O56" i="75"/>
  <c r="P56" i="75" s="1"/>
  <c r="Y55" i="75"/>
  <c r="W55" i="75"/>
  <c r="X55" i="75" s="1"/>
  <c r="P55" i="75"/>
  <c r="Y54" i="75"/>
  <c r="W54" i="75"/>
  <c r="X54" i="75" s="1"/>
  <c r="P54" i="75"/>
  <c r="Y53" i="75"/>
  <c r="X53" i="75"/>
  <c r="W53" i="75"/>
  <c r="P53" i="75"/>
  <c r="Y52" i="75"/>
  <c r="W52" i="75"/>
  <c r="X52" i="75" s="1"/>
  <c r="P52" i="75"/>
  <c r="Y51" i="75"/>
  <c r="W51" i="75"/>
  <c r="X51" i="75" s="1"/>
  <c r="P51" i="75"/>
  <c r="Y50" i="75"/>
  <c r="W50" i="75"/>
  <c r="X50" i="75" s="1"/>
  <c r="P50" i="75"/>
  <c r="B50" i="75"/>
  <c r="Y49" i="75"/>
  <c r="W49" i="75"/>
  <c r="X49" i="75" s="1"/>
  <c r="P49" i="75"/>
  <c r="F49" i="75"/>
  <c r="Y48" i="75"/>
  <c r="W48" i="75"/>
  <c r="X48" i="75" s="1"/>
  <c r="P48" i="75"/>
  <c r="Y47" i="75"/>
  <c r="W47" i="75"/>
  <c r="X47" i="75" s="1"/>
  <c r="P47" i="75"/>
  <c r="Y46" i="75"/>
  <c r="W46" i="75"/>
  <c r="X46" i="75" s="1"/>
  <c r="P46" i="75"/>
  <c r="Y45" i="75"/>
  <c r="W45" i="75"/>
  <c r="X45" i="75" s="1"/>
  <c r="P45" i="75"/>
  <c r="Y44" i="75"/>
  <c r="W44" i="75"/>
  <c r="X44" i="75" s="1"/>
  <c r="P44" i="75"/>
  <c r="Y43" i="75"/>
  <c r="W43" i="75"/>
  <c r="X43" i="75" s="1"/>
  <c r="P43" i="75"/>
  <c r="Y42" i="75"/>
  <c r="W42" i="75"/>
  <c r="X42" i="75" s="1"/>
  <c r="P42" i="75"/>
  <c r="Y41" i="75"/>
  <c r="W41" i="75"/>
  <c r="X41" i="75" s="1"/>
  <c r="P41" i="75"/>
  <c r="Y40" i="75"/>
  <c r="W40" i="75"/>
  <c r="X40" i="75" s="1"/>
  <c r="P40" i="75"/>
  <c r="D40" i="75"/>
  <c r="Y39" i="75"/>
  <c r="W39" i="75"/>
  <c r="X39" i="75" s="1"/>
  <c r="P39" i="75"/>
  <c r="Y38" i="75"/>
  <c r="W38" i="75"/>
  <c r="X38" i="75" s="1"/>
  <c r="P38" i="75"/>
  <c r="W37" i="75"/>
  <c r="X37" i="75" s="1"/>
  <c r="P37" i="75"/>
  <c r="E37" i="75"/>
  <c r="F37" i="75" s="1"/>
  <c r="B37" i="75"/>
  <c r="B38" i="75" s="1"/>
  <c r="B39" i="75" s="1"/>
  <c r="Y36" i="75"/>
  <c r="W36" i="75"/>
  <c r="X36" i="75" s="1"/>
  <c r="P36" i="75"/>
  <c r="F36" i="75"/>
  <c r="X35" i="75"/>
  <c r="P35" i="75"/>
  <c r="X34" i="75"/>
  <c r="P34" i="75"/>
  <c r="Y33" i="75"/>
  <c r="W33" i="75"/>
  <c r="X33" i="75" s="1"/>
  <c r="P33" i="75"/>
  <c r="Y32" i="75"/>
  <c r="W32" i="75"/>
  <c r="X32" i="75" s="1"/>
  <c r="P32" i="75"/>
  <c r="Y31" i="75"/>
  <c r="X31" i="75"/>
  <c r="W31" i="75"/>
  <c r="P31" i="75"/>
  <c r="Y30" i="75"/>
  <c r="W30" i="75"/>
  <c r="X30" i="75" s="1"/>
  <c r="P30" i="75"/>
  <c r="Y29" i="75"/>
  <c r="W29" i="75"/>
  <c r="X29" i="75" s="1"/>
  <c r="P29" i="75"/>
  <c r="D29" i="75"/>
  <c r="Y28" i="75"/>
  <c r="W28" i="75"/>
  <c r="X28" i="75" s="1"/>
  <c r="P28" i="75"/>
  <c r="F28" i="75"/>
  <c r="J28" i="75" s="1"/>
  <c r="Y27" i="75"/>
  <c r="W27" i="75"/>
  <c r="X27" i="75" s="1"/>
  <c r="P27" i="75"/>
  <c r="F27" i="75"/>
  <c r="J27" i="75" s="1"/>
  <c r="Y26" i="75"/>
  <c r="W26" i="75"/>
  <c r="X26" i="75" s="1"/>
  <c r="P26" i="75"/>
  <c r="F26" i="75"/>
  <c r="J26" i="75" s="1"/>
  <c r="Y25" i="75"/>
  <c r="W25" i="75"/>
  <c r="X25" i="75" s="1"/>
  <c r="P25" i="75"/>
  <c r="H25" i="75"/>
  <c r="I25" i="75" s="1"/>
  <c r="F25" i="75"/>
  <c r="Y24" i="75"/>
  <c r="W24" i="75"/>
  <c r="X24" i="75" s="1"/>
  <c r="P24" i="75"/>
  <c r="H24" i="75"/>
  <c r="I24" i="75" s="1"/>
  <c r="E24" i="75"/>
  <c r="Y23" i="75"/>
  <c r="W23" i="75"/>
  <c r="X23" i="75" s="1"/>
  <c r="P23" i="75"/>
  <c r="H23" i="75"/>
  <c r="I23" i="75" s="1"/>
  <c r="E23" i="75"/>
  <c r="F23" i="75" s="1"/>
  <c r="Y22" i="75"/>
  <c r="W22" i="75"/>
  <c r="X22" i="75" s="1"/>
  <c r="P22" i="75"/>
  <c r="I22" i="75"/>
  <c r="E22" i="75"/>
  <c r="F22" i="75" s="1"/>
  <c r="Y21" i="75"/>
  <c r="W21" i="75"/>
  <c r="X21" i="75" s="1"/>
  <c r="P21" i="75"/>
  <c r="I21" i="75"/>
  <c r="E21" i="75"/>
  <c r="Y20" i="75"/>
  <c r="W20" i="75"/>
  <c r="X20" i="75" s="1"/>
  <c r="P20" i="75"/>
  <c r="H20" i="75"/>
  <c r="I20" i="75" s="1"/>
  <c r="F20" i="75"/>
  <c r="Y19" i="75"/>
  <c r="W19" i="75"/>
  <c r="X19" i="75" s="1"/>
  <c r="P19" i="75"/>
  <c r="Y18" i="75"/>
  <c r="W18" i="75"/>
  <c r="X18" i="75" s="1"/>
  <c r="P18" i="75"/>
  <c r="H18" i="75"/>
  <c r="I18" i="75" s="1"/>
  <c r="E18" i="75"/>
  <c r="F18" i="75" s="1"/>
  <c r="Y17" i="75"/>
  <c r="W17" i="75"/>
  <c r="X17" i="75" s="1"/>
  <c r="P17" i="75"/>
  <c r="I17" i="75"/>
  <c r="F17" i="75"/>
  <c r="Y16" i="75"/>
  <c r="W16" i="75"/>
  <c r="P16" i="75"/>
  <c r="H16" i="75"/>
  <c r="I16" i="75" s="1"/>
  <c r="F16" i="75"/>
  <c r="X15" i="75"/>
  <c r="P15" i="75"/>
  <c r="H15" i="75"/>
  <c r="I15" i="75" s="1"/>
  <c r="F15" i="75"/>
  <c r="X14" i="75"/>
  <c r="P14" i="75"/>
  <c r="E14" i="75"/>
  <c r="F14" i="75" s="1"/>
  <c r="X13" i="75"/>
  <c r="P13" i="75"/>
  <c r="E13" i="75"/>
  <c r="X12" i="75"/>
  <c r="P12" i="75"/>
  <c r="H12" i="75"/>
  <c r="I12" i="75" s="1"/>
  <c r="F12" i="75"/>
  <c r="X11" i="75"/>
  <c r="P11" i="75"/>
  <c r="H11" i="75"/>
  <c r="I11" i="75" s="1"/>
  <c r="F11" i="75"/>
  <c r="X10" i="75"/>
  <c r="P10" i="75"/>
  <c r="X9" i="75"/>
  <c r="P9" i="75"/>
  <c r="X8" i="75"/>
  <c r="P8" i="75"/>
  <c r="H8" i="75"/>
  <c r="I8" i="75" s="1"/>
  <c r="F8" i="75"/>
  <c r="B8" i="75"/>
  <c r="B9" i="75" s="1"/>
  <c r="B10" i="75" s="1"/>
  <c r="B11" i="75" s="1"/>
  <c r="B12" i="75" s="1"/>
  <c r="B13" i="75" s="1"/>
  <c r="B14" i="75" s="1"/>
  <c r="B15" i="75" s="1"/>
  <c r="B16" i="75" s="1"/>
  <c r="B17" i="75" s="1"/>
  <c r="B18" i="75" s="1"/>
  <c r="B19" i="75" s="1"/>
  <c r="B20" i="75" s="1"/>
  <c r="B21" i="75" s="1"/>
  <c r="B22" i="75" s="1"/>
  <c r="B23" i="75" s="1"/>
  <c r="B24" i="75" s="1"/>
  <c r="B25" i="75" s="1"/>
  <c r="B26" i="75" s="1"/>
  <c r="B27" i="75" s="1"/>
  <c r="X7" i="75"/>
  <c r="P7" i="75"/>
  <c r="H7" i="75"/>
  <c r="E7" i="75"/>
  <c r="F7" i="75" s="1"/>
  <c r="E2" i="75"/>
  <c r="G2" i="75" s="1"/>
  <c r="G16" i="75" s="1"/>
  <c r="K19" i="2"/>
  <c r="I19" i="2"/>
  <c r="N57" i="76" l="1"/>
  <c r="AA44" i="76"/>
  <c r="AB44" i="76" s="1"/>
  <c r="J12" i="75"/>
  <c r="J11" i="75"/>
  <c r="J17" i="75"/>
  <c r="J22" i="75"/>
  <c r="E10" i="75"/>
  <c r="F10" i="75" s="1"/>
  <c r="L57" i="76"/>
  <c r="M57" i="76" s="1"/>
  <c r="V37" i="76"/>
  <c r="J15" i="75"/>
  <c r="F101" i="75"/>
  <c r="H10" i="75" s="1"/>
  <c r="I10" i="75" s="1"/>
  <c r="J16" i="75"/>
  <c r="F71" i="75"/>
  <c r="H14" i="75" s="1"/>
  <c r="I14" i="75" s="1"/>
  <c r="J14" i="75" s="1"/>
  <c r="G79" i="75"/>
  <c r="G51" i="75"/>
  <c r="H101" i="75"/>
  <c r="H114" i="75" s="1"/>
  <c r="Y98" i="75"/>
  <c r="F112" i="75"/>
  <c r="J25" i="75"/>
  <c r="J18" i="75"/>
  <c r="T37" i="76"/>
  <c r="U37" i="76" s="1"/>
  <c r="AA16" i="76"/>
  <c r="AB16" i="76" s="1"/>
  <c r="AB34" i="76"/>
  <c r="E124" i="76"/>
  <c r="F124" i="76" s="1"/>
  <c r="G27" i="75"/>
  <c r="G25" i="75"/>
  <c r="E50" i="75"/>
  <c r="G21" i="75"/>
  <c r="H71" i="75"/>
  <c r="G8" i="75"/>
  <c r="G18" i="75"/>
  <c r="G20" i="75"/>
  <c r="G23" i="75"/>
  <c r="Q149" i="75"/>
  <c r="G7" i="75"/>
  <c r="F21" i="75"/>
  <c r="J21" i="75" s="1"/>
  <c r="G19" i="75"/>
  <c r="J20" i="75"/>
  <c r="J23" i="75"/>
  <c r="G26" i="75"/>
  <c r="G39" i="75"/>
  <c r="F39" i="75"/>
  <c r="G49" i="75"/>
  <c r="G9" i="75"/>
  <c r="J8" i="75"/>
  <c r="I7" i="75"/>
  <c r="G38" i="75"/>
  <c r="F38" i="75"/>
  <c r="E40" i="75"/>
  <c r="G40" i="75" s="1"/>
  <c r="O149" i="75"/>
  <c r="P57" i="75"/>
  <c r="G12" i="75"/>
  <c r="G36" i="75"/>
  <c r="G22" i="75"/>
  <c r="G14" i="75"/>
  <c r="G37" i="75"/>
  <c r="G17" i="75"/>
  <c r="G15" i="75"/>
  <c r="G24" i="75"/>
  <c r="F24" i="75"/>
  <c r="J24" i="75" s="1"/>
  <c r="G28" i="75"/>
  <c r="G11" i="75"/>
  <c r="X16" i="75"/>
  <c r="W98" i="75"/>
  <c r="G13" i="75"/>
  <c r="F13" i="75"/>
  <c r="G71" i="75" l="1"/>
  <c r="G10" i="75"/>
  <c r="E29" i="75"/>
  <c r="G29" i="75" s="1"/>
  <c r="J10" i="75"/>
  <c r="G101" i="75"/>
  <c r="F40" i="75"/>
  <c r="F29" i="75"/>
  <c r="G112" i="75"/>
  <c r="H19" i="75"/>
  <c r="I19" i="75" s="1"/>
  <c r="J19" i="75" s="1"/>
  <c r="F114" i="75"/>
  <c r="G114" i="75" s="1"/>
  <c r="F51" i="75"/>
  <c r="J7" i="75"/>
  <c r="F50" i="75"/>
  <c r="E52" i="75"/>
  <c r="G50" i="75"/>
  <c r="G52" i="75" s="1"/>
  <c r="H13" i="75"/>
  <c r="I13" i="75" s="1"/>
  <c r="J13" i="75" s="1"/>
  <c r="X98" i="75"/>
  <c r="P149" i="75"/>
  <c r="H9" i="75"/>
  <c r="H29" i="75" l="1"/>
  <c r="F44" i="75"/>
  <c r="F45" i="75" s="1"/>
  <c r="F54" i="75"/>
  <c r="F43" i="75"/>
  <c r="F52" i="75"/>
  <c r="F55" i="75" s="1"/>
  <c r="F56" i="75" s="1"/>
  <c r="I9" i="75"/>
  <c r="J9" i="75" l="1"/>
  <c r="I29" i="75"/>
  <c r="J29" i="75" s="1"/>
  <c r="G15" i="8" l="1"/>
  <c r="K20" i="2" l="1"/>
  <c r="Q217" i="71"/>
  <c r="P217" i="71"/>
  <c r="M180" i="71" s="1"/>
  <c r="O217" i="71"/>
  <c r="L180" i="71" s="1"/>
  <c r="N217" i="71"/>
  <c r="K180" i="71" s="1"/>
  <c r="M217" i="71"/>
  <c r="J180" i="71" s="1"/>
  <c r="L217" i="71"/>
  <c r="I180" i="71" s="1"/>
  <c r="Q208" i="71"/>
  <c r="L179" i="71" s="1"/>
  <c r="S207" i="71"/>
  <c r="P207" i="71" s="1"/>
  <c r="R207" i="71"/>
  <c r="R208" i="71" s="1"/>
  <c r="M179" i="71" s="1"/>
  <c r="N207" i="71"/>
  <c r="S206" i="71"/>
  <c r="S208" i="71" s="1"/>
  <c r="N179" i="71" s="1"/>
  <c r="O179" i="71" s="1"/>
  <c r="P206" i="71"/>
  <c r="P208" i="71" s="1"/>
  <c r="K179" i="71" s="1"/>
  <c r="O206" i="71"/>
  <c r="N206" i="71"/>
  <c r="N208" i="71" s="1"/>
  <c r="I179" i="71" s="1"/>
  <c r="N201" i="71"/>
  <c r="M201" i="71"/>
  <c r="L201" i="71"/>
  <c r="K201" i="71"/>
  <c r="J201" i="71"/>
  <c r="I201" i="71"/>
  <c r="O196" i="71"/>
  <c r="N196" i="71"/>
  <c r="N177" i="71" s="1"/>
  <c r="M196" i="71"/>
  <c r="M177" i="71" s="1"/>
  <c r="L196" i="71"/>
  <c r="K195" i="71"/>
  <c r="J195" i="71"/>
  <c r="I195" i="71"/>
  <c r="N194" i="71"/>
  <c r="M194" i="71"/>
  <c r="J194" i="71"/>
  <c r="K194" i="71" s="1"/>
  <c r="M193" i="71"/>
  <c r="K193" i="71"/>
  <c r="J193" i="71"/>
  <c r="I193" i="71"/>
  <c r="N192" i="71"/>
  <c r="K192" i="71" s="1"/>
  <c r="M192" i="71"/>
  <c r="J192" i="71"/>
  <c r="I192" i="71"/>
  <c r="M191" i="71"/>
  <c r="K191" i="71"/>
  <c r="J191" i="71"/>
  <c r="I191" i="71"/>
  <c r="M190" i="71"/>
  <c r="K190" i="71"/>
  <c r="J190" i="71"/>
  <c r="I190" i="71"/>
  <c r="M189" i="71"/>
  <c r="K189" i="71"/>
  <c r="J189" i="71"/>
  <c r="I189" i="71" s="1"/>
  <c r="K188" i="71"/>
  <c r="J188" i="71"/>
  <c r="I188" i="71"/>
  <c r="K187" i="71"/>
  <c r="J187" i="71"/>
  <c r="I187" i="71"/>
  <c r="K186" i="71"/>
  <c r="J186" i="71"/>
  <c r="I186" i="71"/>
  <c r="K185" i="71"/>
  <c r="K196" i="71" s="1"/>
  <c r="K177" i="71" s="1"/>
  <c r="J185" i="71"/>
  <c r="M184" i="71"/>
  <c r="J184" i="71"/>
  <c r="J196" i="71" s="1"/>
  <c r="J177" i="71" s="1"/>
  <c r="O180" i="71"/>
  <c r="N180" i="71"/>
  <c r="O178" i="71"/>
  <c r="N178" i="71"/>
  <c r="K178" i="71" s="1"/>
  <c r="M178" i="71"/>
  <c r="L178" i="71"/>
  <c r="J178" i="71"/>
  <c r="I178" i="71"/>
  <c r="O177" i="71"/>
  <c r="P177" i="71" s="1"/>
  <c r="L177" i="71"/>
  <c r="I174" i="71"/>
  <c r="J173" i="71"/>
  <c r="I173" i="71" s="1"/>
  <c r="I172" i="71"/>
  <c r="N165" i="71"/>
  <c r="M165" i="71"/>
  <c r="K164" i="71"/>
  <c r="J164" i="71"/>
  <c r="I164" i="71"/>
  <c r="K163" i="71"/>
  <c r="J163" i="71"/>
  <c r="I163" i="71"/>
  <c r="L162" i="71"/>
  <c r="L165" i="71" s="1"/>
  <c r="K162" i="71"/>
  <c r="K165" i="71" s="1"/>
  <c r="J162" i="71"/>
  <c r="J165" i="71" s="1"/>
  <c r="L161" i="71"/>
  <c r="K161" i="71"/>
  <c r="J161" i="71"/>
  <c r="I161" i="71"/>
  <c r="O157" i="71"/>
  <c r="N157" i="71"/>
  <c r="M157" i="71"/>
  <c r="L156" i="71"/>
  <c r="K156" i="71"/>
  <c r="J156" i="71"/>
  <c r="L155" i="71"/>
  <c r="K155" i="71"/>
  <c r="J155" i="71"/>
  <c r="L154" i="71"/>
  <c r="K154" i="71"/>
  <c r="J154" i="71"/>
  <c r="L153" i="71"/>
  <c r="K153" i="71"/>
  <c r="K157" i="71" s="1"/>
  <c r="J153" i="71"/>
  <c r="J157" i="71" s="1"/>
  <c r="L152" i="71"/>
  <c r="L157" i="71" s="1"/>
  <c r="K152" i="71"/>
  <c r="J152" i="71"/>
  <c r="Q148" i="71"/>
  <c r="P148" i="71"/>
  <c r="O148" i="71"/>
  <c r="O147" i="71"/>
  <c r="N147" i="71"/>
  <c r="M147" i="71"/>
  <c r="L147" i="71"/>
  <c r="N146" i="71"/>
  <c r="M146" i="71"/>
  <c r="L146" i="71"/>
  <c r="L148" i="71" s="1"/>
  <c r="N145" i="71"/>
  <c r="M145" i="71"/>
  <c r="L145" i="71"/>
  <c r="O144" i="71"/>
  <c r="N144" i="71"/>
  <c r="M144" i="71"/>
  <c r="L144" i="71"/>
  <c r="N143" i="71"/>
  <c r="M143" i="71"/>
  <c r="M148" i="71" s="1"/>
  <c r="L143" i="71"/>
  <c r="O142" i="71"/>
  <c r="N142" i="71"/>
  <c r="M142" i="71"/>
  <c r="L142" i="71"/>
  <c r="P138" i="71"/>
  <c r="O138" i="71"/>
  <c r="S132" i="71"/>
  <c r="R132" i="71"/>
  <c r="Q132" i="71"/>
  <c r="N131" i="71"/>
  <c r="M131" i="71"/>
  <c r="L131" i="71"/>
  <c r="K131" i="71"/>
  <c r="N130" i="71"/>
  <c r="M130" i="71"/>
  <c r="L130" i="71"/>
  <c r="K130" i="71"/>
  <c r="N129" i="71"/>
  <c r="M129" i="71"/>
  <c r="L129" i="71"/>
  <c r="K129" i="71"/>
  <c r="N128" i="71"/>
  <c r="M128" i="71"/>
  <c r="L128" i="71"/>
  <c r="K128" i="71"/>
  <c r="N127" i="71"/>
  <c r="M127" i="71"/>
  <c r="L127" i="71"/>
  <c r="K127" i="71"/>
  <c r="N126" i="71"/>
  <c r="M126" i="71"/>
  <c r="L126" i="71"/>
  <c r="K126" i="71"/>
  <c r="N125" i="71"/>
  <c r="M125" i="71"/>
  <c r="L125" i="71"/>
  <c r="K125" i="71"/>
  <c r="N124" i="71"/>
  <c r="M124" i="71"/>
  <c r="L124" i="71"/>
  <c r="K124" i="71"/>
  <c r="N123" i="71"/>
  <c r="M123" i="71"/>
  <c r="L123" i="71"/>
  <c r="K123" i="71"/>
  <c r="N122" i="71"/>
  <c r="M122" i="71"/>
  <c r="L122" i="71"/>
  <c r="K122" i="71"/>
  <c r="M121" i="71"/>
  <c r="S121" i="71" s="1"/>
  <c r="L121" i="71"/>
  <c r="R121" i="71" s="1"/>
  <c r="K121" i="71"/>
  <c r="S120" i="71"/>
  <c r="M120" i="71"/>
  <c r="L120" i="71"/>
  <c r="R120" i="71" s="1"/>
  <c r="R138" i="71" s="1"/>
  <c r="M12" i="71" s="1"/>
  <c r="J12" i="71" s="1"/>
  <c r="K120" i="71"/>
  <c r="Q120" i="71" s="1"/>
  <c r="N119" i="71"/>
  <c r="M119" i="71"/>
  <c r="L119" i="71"/>
  <c r="K119" i="71"/>
  <c r="N118" i="71"/>
  <c r="M118" i="71"/>
  <c r="L118" i="71"/>
  <c r="K118" i="71"/>
  <c r="N117" i="71"/>
  <c r="M117" i="71"/>
  <c r="L117" i="71"/>
  <c r="K117" i="71"/>
  <c r="N116" i="71"/>
  <c r="M116" i="71"/>
  <c r="L116" i="71"/>
  <c r="K116" i="71"/>
  <c r="N115" i="71"/>
  <c r="M115" i="71"/>
  <c r="L115" i="71"/>
  <c r="K115" i="71"/>
  <c r="N114" i="71"/>
  <c r="M114" i="71"/>
  <c r="L114" i="71"/>
  <c r="K114" i="71"/>
  <c r="N113" i="71"/>
  <c r="M113" i="71"/>
  <c r="L113" i="71"/>
  <c r="K113" i="71"/>
  <c r="N112" i="71"/>
  <c r="M112" i="71"/>
  <c r="L112" i="71"/>
  <c r="K112" i="71"/>
  <c r="N111" i="71"/>
  <c r="N138" i="71" s="1"/>
  <c r="M111" i="71"/>
  <c r="L111" i="71"/>
  <c r="K111" i="71"/>
  <c r="P106" i="71"/>
  <c r="L106" i="71"/>
  <c r="O106" i="71" s="1"/>
  <c r="K106" i="71"/>
  <c r="N106" i="71" s="1"/>
  <c r="Q101" i="71"/>
  <c r="P101" i="71"/>
  <c r="O101" i="71"/>
  <c r="S98" i="71"/>
  <c r="N14" i="71" s="1"/>
  <c r="R98" i="71"/>
  <c r="M14" i="71" s="1"/>
  <c r="J14" i="71" s="1"/>
  <c r="Q98" i="71"/>
  <c r="L14" i="71" s="1"/>
  <c r="N98" i="71"/>
  <c r="P97" i="71"/>
  <c r="O97" i="71"/>
  <c r="N97" i="71"/>
  <c r="P96" i="71"/>
  <c r="O96" i="71"/>
  <c r="N96" i="71"/>
  <c r="P95" i="71"/>
  <c r="P98" i="71" s="1"/>
  <c r="O95" i="71"/>
  <c r="O98" i="71" s="1"/>
  <c r="N95" i="71"/>
  <c r="P94" i="71"/>
  <c r="O94" i="71"/>
  <c r="N94" i="71"/>
  <c r="P93" i="71"/>
  <c r="O93" i="71"/>
  <c r="N93" i="71"/>
  <c r="S83" i="71"/>
  <c r="R83" i="71"/>
  <c r="Q83" i="71"/>
  <c r="P83" i="71"/>
  <c r="O83" i="71"/>
  <c r="N83" i="71"/>
  <c r="N10" i="71" s="1"/>
  <c r="M83" i="71"/>
  <c r="M10" i="71" s="1"/>
  <c r="J10" i="71" s="1"/>
  <c r="L83" i="71"/>
  <c r="L10" i="71" s="1"/>
  <c r="I10" i="71" s="1"/>
  <c r="K82" i="71"/>
  <c r="J82" i="71"/>
  <c r="I82" i="71"/>
  <c r="K81" i="71"/>
  <c r="J81" i="71"/>
  <c r="I81" i="71"/>
  <c r="K80" i="71"/>
  <c r="J80" i="71"/>
  <c r="I80" i="71"/>
  <c r="K79" i="71"/>
  <c r="J79" i="71"/>
  <c r="I79" i="71"/>
  <c r="K78" i="71"/>
  <c r="J78" i="71"/>
  <c r="I78" i="71"/>
  <c r="K77" i="71"/>
  <c r="J77" i="71"/>
  <c r="I77" i="71"/>
  <c r="K76" i="71"/>
  <c r="J76" i="71"/>
  <c r="I76" i="71"/>
  <c r="K75" i="71"/>
  <c r="J75" i="71"/>
  <c r="I75" i="71"/>
  <c r="K74" i="71"/>
  <c r="J74" i="71"/>
  <c r="I74" i="71"/>
  <c r="K73" i="71"/>
  <c r="J73" i="71"/>
  <c r="I73" i="71"/>
  <c r="K72" i="71"/>
  <c r="J72" i="71"/>
  <c r="I72" i="71"/>
  <c r="K71" i="71"/>
  <c r="J71" i="71"/>
  <c r="I71" i="71"/>
  <c r="K70" i="71"/>
  <c r="J70" i="71"/>
  <c r="I70" i="71"/>
  <c r="K69" i="71"/>
  <c r="J69" i="71"/>
  <c r="I69" i="71"/>
  <c r="K68" i="71"/>
  <c r="J68" i="71"/>
  <c r="I68" i="71"/>
  <c r="K67" i="71"/>
  <c r="J67" i="71"/>
  <c r="I67" i="71"/>
  <c r="K66" i="71"/>
  <c r="J66" i="71"/>
  <c r="I66" i="71"/>
  <c r="K65" i="71"/>
  <c r="J65" i="71"/>
  <c r="I65" i="71"/>
  <c r="K64" i="71"/>
  <c r="J64" i="71"/>
  <c r="I64" i="71"/>
  <c r="K63" i="71"/>
  <c r="J63" i="71"/>
  <c r="I63" i="71"/>
  <c r="K62" i="71"/>
  <c r="J62" i="71"/>
  <c r="I62" i="71"/>
  <c r="K61" i="71"/>
  <c r="J61" i="71"/>
  <c r="I61" i="71"/>
  <c r="K60" i="71"/>
  <c r="J60" i="71"/>
  <c r="I60" i="71"/>
  <c r="K59" i="71"/>
  <c r="J59" i="71"/>
  <c r="I59" i="71"/>
  <c r="K58" i="71"/>
  <c r="J58" i="71"/>
  <c r="I58" i="71"/>
  <c r="K57" i="71"/>
  <c r="J57" i="71"/>
  <c r="I57" i="71"/>
  <c r="K56" i="71"/>
  <c r="J56" i="71"/>
  <c r="I56" i="71"/>
  <c r="K55" i="71"/>
  <c r="J55" i="71"/>
  <c r="I55" i="71"/>
  <c r="K54" i="71"/>
  <c r="J54" i="71"/>
  <c r="I54" i="71"/>
  <c r="K53" i="71"/>
  <c r="J53" i="71"/>
  <c r="I53" i="71"/>
  <c r="K52" i="71"/>
  <c r="J52" i="71"/>
  <c r="I52" i="71"/>
  <c r="K51" i="71"/>
  <c r="J51" i="71"/>
  <c r="I51" i="71"/>
  <c r="K50" i="71"/>
  <c r="J50" i="71"/>
  <c r="I50" i="71"/>
  <c r="K49" i="71"/>
  <c r="J49" i="71"/>
  <c r="I49" i="71"/>
  <c r="K48" i="71"/>
  <c r="J48" i="71"/>
  <c r="I48" i="71"/>
  <c r="K47" i="71"/>
  <c r="J47" i="71"/>
  <c r="I47" i="71"/>
  <c r="K46" i="71"/>
  <c r="J46" i="71"/>
  <c r="I46" i="71"/>
  <c r="K45" i="71"/>
  <c r="J45" i="71"/>
  <c r="I45" i="71"/>
  <c r="K44" i="71"/>
  <c r="J44" i="71"/>
  <c r="I44" i="71"/>
  <c r="K43" i="71"/>
  <c r="J43" i="71"/>
  <c r="I43" i="71"/>
  <c r="K42" i="71"/>
  <c r="J42" i="71"/>
  <c r="I42" i="71"/>
  <c r="K41" i="71"/>
  <c r="J41" i="71"/>
  <c r="I41" i="71"/>
  <c r="K40" i="71"/>
  <c r="J40" i="71"/>
  <c r="I40" i="71"/>
  <c r="K39" i="71"/>
  <c r="J39" i="71"/>
  <c r="I39" i="71"/>
  <c r="K38" i="71"/>
  <c r="J38" i="71"/>
  <c r="I38" i="71"/>
  <c r="K37" i="71"/>
  <c r="J37" i="71"/>
  <c r="I37" i="71"/>
  <c r="K36" i="71"/>
  <c r="J36" i="71"/>
  <c r="I36" i="71"/>
  <c r="K35" i="71"/>
  <c r="J35" i="71"/>
  <c r="I35" i="71"/>
  <c r="K34" i="71"/>
  <c r="J34" i="71"/>
  <c r="I34" i="71"/>
  <c r="K33" i="71"/>
  <c r="J33" i="71"/>
  <c r="I33" i="71"/>
  <c r="K32" i="71"/>
  <c r="J32" i="71"/>
  <c r="I32" i="71"/>
  <c r="K31" i="71"/>
  <c r="J31" i="71"/>
  <c r="I31" i="71"/>
  <c r="K30" i="71"/>
  <c r="J30" i="71"/>
  <c r="I30" i="71"/>
  <c r="K29" i="71"/>
  <c r="J29" i="71"/>
  <c r="I29" i="71"/>
  <c r="K28" i="71"/>
  <c r="J28" i="71"/>
  <c r="I28" i="71"/>
  <c r="K27" i="71"/>
  <c r="J27" i="71"/>
  <c r="I27" i="71"/>
  <c r="K26" i="71"/>
  <c r="J26" i="71"/>
  <c r="I26" i="71"/>
  <c r="K25" i="71"/>
  <c r="J25" i="71"/>
  <c r="I25" i="71"/>
  <c r="K24" i="71"/>
  <c r="J24" i="71"/>
  <c r="I24" i="71"/>
  <c r="K23" i="71"/>
  <c r="J23" i="71"/>
  <c r="I23" i="71"/>
  <c r="N17" i="71"/>
  <c r="K17" i="71" s="1"/>
  <c r="M17" i="71"/>
  <c r="J17" i="71" s="1"/>
  <c r="L17" i="71"/>
  <c r="I17" i="71" s="1"/>
  <c r="N16" i="71"/>
  <c r="O16" i="71" s="1"/>
  <c r="M16" i="71"/>
  <c r="K16" i="71"/>
  <c r="J16" i="71"/>
  <c r="N15" i="71"/>
  <c r="K15" i="71" s="1"/>
  <c r="M15" i="71"/>
  <c r="J15" i="71" s="1"/>
  <c r="L15" i="71"/>
  <c r="I15" i="71" s="1"/>
  <c r="I14" i="71"/>
  <c r="M13" i="71"/>
  <c r="J13" i="71" s="1"/>
  <c r="L13" i="71"/>
  <c r="I13" i="71" s="1"/>
  <c r="N11" i="71"/>
  <c r="M11" i="71"/>
  <c r="J11" i="71" s="1"/>
  <c r="L11" i="71"/>
  <c r="I11" i="71" s="1"/>
  <c r="I7" i="71"/>
  <c r="P16" i="71" s="1"/>
  <c r="I6" i="71"/>
  <c r="I63" i="70"/>
  <c r="H63" i="70"/>
  <c r="G63" i="70"/>
  <c r="M62" i="70"/>
  <c r="M61" i="70"/>
  <c r="M60" i="70"/>
  <c r="M59" i="70"/>
  <c r="M58" i="70"/>
  <c r="M57" i="70"/>
  <c r="M56" i="70"/>
  <c r="M55" i="70"/>
  <c r="M54" i="70"/>
  <c r="M53" i="70"/>
  <c r="M52" i="70"/>
  <c r="M51" i="70"/>
  <c r="M50" i="70"/>
  <c r="G50" i="70"/>
  <c r="M49" i="70"/>
  <c r="M48" i="70"/>
  <c r="M47" i="70"/>
  <c r="M46" i="70"/>
  <c r="M45" i="70"/>
  <c r="M44" i="70"/>
  <c r="M43" i="70"/>
  <c r="M42" i="70"/>
  <c r="M41" i="70"/>
  <c r="M40" i="70"/>
  <c r="M39" i="70"/>
  <c r="M38" i="70"/>
  <c r="M37" i="70"/>
  <c r="M36" i="70"/>
  <c r="M35" i="70"/>
  <c r="M34" i="70"/>
  <c r="M33" i="70"/>
  <c r="M32" i="70"/>
  <c r="M31" i="70"/>
  <c r="M30" i="70"/>
  <c r="M29" i="70"/>
  <c r="M28" i="70"/>
  <c r="M27" i="70"/>
  <c r="M26" i="70"/>
  <c r="M25" i="70"/>
  <c r="M24" i="70"/>
  <c r="M23" i="70"/>
  <c r="M22" i="70"/>
  <c r="M21" i="70"/>
  <c r="M20" i="70"/>
  <c r="M19" i="70"/>
  <c r="M18" i="70"/>
  <c r="M17" i="70"/>
  <c r="M16" i="70"/>
  <c r="M15" i="70"/>
  <c r="M14" i="70"/>
  <c r="M13" i="70"/>
  <c r="M12" i="70"/>
  <c r="M11" i="70"/>
  <c r="M10" i="70"/>
  <c r="M9" i="70"/>
  <c r="M8" i="70"/>
  <c r="M7" i="70"/>
  <c r="M6" i="70"/>
  <c r="M5" i="70"/>
  <c r="M4" i="70"/>
  <c r="H28" i="69"/>
  <c r="G28" i="69"/>
  <c r="H24" i="69"/>
  <c r="G24" i="69"/>
  <c r="I21" i="69"/>
  <c r="H21" i="69"/>
  <c r="G21" i="69"/>
  <c r="I20" i="69"/>
  <c r="H20" i="69"/>
  <c r="G20" i="69"/>
  <c r="I19" i="69"/>
  <c r="H19" i="69"/>
  <c r="G19" i="69"/>
  <c r="H12" i="69"/>
  <c r="G12" i="69"/>
  <c r="H11" i="69"/>
  <c r="G11" i="69"/>
  <c r="H8" i="69"/>
  <c r="G8" i="69"/>
  <c r="H7" i="69"/>
  <c r="G7" i="69"/>
  <c r="H6" i="69"/>
  <c r="G6" i="69"/>
  <c r="N101" i="71" l="1"/>
  <c r="L16" i="71"/>
  <c r="I16" i="71" s="1"/>
  <c r="O11" i="71"/>
  <c r="K11" i="71"/>
  <c r="P11" i="71"/>
  <c r="T83" i="71"/>
  <c r="O10" i="71"/>
  <c r="S10" i="71" s="1"/>
  <c r="S11" i="71" s="1"/>
  <c r="K10" i="71"/>
  <c r="S138" i="71"/>
  <c r="P10" i="71"/>
  <c r="T10" i="71" s="1"/>
  <c r="P14" i="71"/>
  <c r="Q121" i="71"/>
  <c r="Q138" i="71" s="1"/>
  <c r="L12" i="71" s="1"/>
  <c r="I12" i="71" s="1"/>
  <c r="K138" i="71"/>
  <c r="N148" i="71"/>
  <c r="I83" i="71"/>
  <c r="O14" i="71"/>
  <c r="K14" i="71"/>
  <c r="L138" i="71"/>
  <c r="P178" i="71"/>
  <c r="P179" i="71" s="1"/>
  <c r="P180" i="71" s="1"/>
  <c r="R10" i="71"/>
  <c r="J83" i="71"/>
  <c r="M138" i="71"/>
  <c r="I196" i="71"/>
  <c r="I177" i="71" s="1"/>
  <c r="K83" i="71"/>
  <c r="O15" i="71"/>
  <c r="O17" i="71"/>
  <c r="P15" i="71"/>
  <c r="P17" i="71"/>
  <c r="O207" i="71"/>
  <c r="O208" i="71" s="1"/>
  <c r="J179" i="71" s="1"/>
  <c r="I162" i="71"/>
  <c r="I165" i="71" s="1"/>
  <c r="R11" i="71" l="1"/>
  <c r="Q10" i="71"/>
  <c r="N12" i="71"/>
  <c r="N13" i="71"/>
  <c r="T11" i="71"/>
  <c r="Q11" i="71" l="1"/>
  <c r="R12" i="71"/>
  <c r="P13" i="71"/>
  <c r="O13" i="71"/>
  <c r="K13" i="71"/>
  <c r="O12" i="71"/>
  <c r="S12" i="71" s="1"/>
  <c r="S13" i="71" s="1"/>
  <c r="S14" i="71" s="1"/>
  <c r="S15" i="71" s="1"/>
  <c r="S16" i="71" s="1"/>
  <c r="S17" i="71" s="1"/>
  <c r="K12" i="71"/>
  <c r="P12" i="71"/>
  <c r="T12" i="71" s="1"/>
  <c r="T13" i="71" s="1"/>
  <c r="T14" i="71" s="1"/>
  <c r="T15" i="71" s="1"/>
  <c r="T16" i="71" s="1"/>
  <c r="T17" i="71" s="1"/>
  <c r="R13" i="71" l="1"/>
  <c r="Q12" i="71"/>
  <c r="Q13" i="71" l="1"/>
  <c r="R14" i="71"/>
  <c r="R15" i="71" l="1"/>
  <c r="Q14" i="71"/>
  <c r="R16" i="71" l="1"/>
  <c r="Q16" i="71" s="1"/>
  <c r="R17" i="71"/>
  <c r="Q17" i="71" s="1"/>
  <c r="Q15" i="71"/>
  <c r="K10" i="2" l="1"/>
  <c r="F10" i="2"/>
  <c r="K9" i="2"/>
  <c r="F9" i="2"/>
  <c r="K8" i="2"/>
  <c r="F8" i="2"/>
  <c r="K7" i="2"/>
  <c r="F7" i="2"/>
  <c r="K6" i="2"/>
  <c r="F6" i="2"/>
  <c r="K5" i="2"/>
  <c r="F5" i="2"/>
  <c r="I48" i="5" l="1"/>
  <c r="I70" i="5"/>
  <c r="I71" i="4"/>
  <c r="I22" i="4"/>
  <c r="I39" i="4"/>
  <c r="I58" i="4"/>
  <c r="J58" i="4"/>
  <c r="I29" i="7"/>
  <c r="J29" i="7"/>
  <c r="H29" i="7"/>
  <c r="G21" i="8" l="1"/>
  <c r="H22" i="8"/>
  <c r="I22" i="8"/>
  <c r="I21" i="8"/>
  <c r="I20" i="8"/>
  <c r="H21" i="8"/>
  <c r="H20" i="8"/>
  <c r="H25" i="7" l="1"/>
  <c r="H12" i="7"/>
  <c r="I66" i="5"/>
  <c r="I47" i="5"/>
  <c r="I45" i="5"/>
  <c r="I76" i="4"/>
  <c r="G14" i="8" l="1"/>
  <c r="G13" i="8"/>
  <c r="G20" i="8"/>
  <c r="H13" i="7"/>
  <c r="I32" i="5"/>
  <c r="I21" i="4"/>
  <c r="H11" i="7" l="1"/>
  <c r="H8" i="7"/>
  <c r="H19" i="7"/>
  <c r="H16" i="7"/>
  <c r="I25" i="5"/>
  <c r="I35" i="5"/>
  <c r="I39" i="5"/>
  <c r="I52" i="4"/>
  <c r="I92" i="4"/>
  <c r="I28" i="5" l="1"/>
  <c r="I21" i="5"/>
  <c r="K17" i="2" l="1"/>
  <c r="G5" i="8" l="1"/>
  <c r="G19" i="8" l="1"/>
  <c r="I17" i="4" l="1"/>
  <c r="I20" i="2" l="1"/>
  <c r="G27" i="8" l="1"/>
  <c r="H31" i="7"/>
  <c r="H9" i="7"/>
  <c r="H17" i="7"/>
  <c r="H30" i="7"/>
  <c r="I58" i="5"/>
  <c r="I68" i="5"/>
  <c r="I18" i="5"/>
  <c r="I49" i="5"/>
  <c r="I18" i="4"/>
  <c r="I89" i="4"/>
  <c r="I72" i="4"/>
  <c r="G11" i="2" l="1"/>
  <c r="F11" i="2"/>
  <c r="J11" i="2" l="1"/>
  <c r="H11" i="2"/>
  <c r="I11" i="2" s="1"/>
  <c r="K11" i="2" l="1"/>
  <c r="I24" i="5"/>
  <c r="H27" i="7" l="1"/>
  <c r="I12" i="4" l="1"/>
  <c r="H5" i="7" l="1"/>
  <c r="G30" i="8" l="1"/>
  <c r="H26" i="7" l="1"/>
  <c r="I14" i="5" l="1"/>
  <c r="I60" i="5"/>
  <c r="I11" i="4" l="1"/>
  <c r="G20" i="2" l="1"/>
  <c r="I38" i="4" l="1"/>
  <c r="I26" i="4"/>
  <c r="I90" i="4"/>
  <c r="I6" i="4"/>
  <c r="H23" i="7" l="1"/>
  <c r="H10" i="7"/>
  <c r="I8" i="5" l="1"/>
  <c r="I69" i="5"/>
  <c r="F19" i="2" l="1"/>
  <c r="I40" i="5" l="1"/>
  <c r="H20" i="7" l="1"/>
  <c r="H14" i="7"/>
  <c r="H24" i="7"/>
  <c r="I15" i="5" l="1"/>
  <c r="I43" i="5" l="1"/>
  <c r="I20" i="5"/>
  <c r="I81" i="5"/>
  <c r="G4" i="8" l="1"/>
  <c r="I79" i="4" l="1"/>
  <c r="I47" i="4"/>
  <c r="I61" i="4"/>
  <c r="I65" i="5" l="1"/>
  <c r="I69" i="4" l="1"/>
  <c r="I10" i="5"/>
  <c r="H22" i="7" l="1"/>
  <c r="H15" i="7"/>
  <c r="H18" i="7"/>
  <c r="I44" i="5" l="1"/>
  <c r="I54" i="4" l="1"/>
  <c r="G31" i="8" l="1"/>
  <c r="F31" i="8"/>
  <c r="E31" i="8"/>
  <c r="H30" i="8"/>
  <c r="I30" i="8"/>
  <c r="F30" i="8"/>
  <c r="H29" i="8"/>
  <c r="I29" i="8"/>
  <c r="F29" i="8"/>
  <c r="I27" i="8"/>
  <c r="F26" i="8"/>
  <c r="F25" i="8"/>
  <c r="F24" i="8"/>
  <c r="F23" i="8"/>
  <c r="F22" i="8"/>
  <c r="E22" i="8"/>
  <c r="E27" i="8" s="1"/>
  <c r="F21" i="8"/>
  <c r="F20" i="8"/>
  <c r="I19" i="8"/>
  <c r="H19" i="8"/>
  <c r="F19" i="8"/>
  <c r="I18" i="8"/>
  <c r="H18" i="8"/>
  <c r="G18" i="8"/>
  <c r="F18" i="8"/>
  <c r="E16" i="8"/>
  <c r="I15" i="8"/>
  <c r="H15" i="8"/>
  <c r="F15" i="8"/>
  <c r="I14" i="8"/>
  <c r="H14" i="8"/>
  <c r="F14" i="8"/>
  <c r="I13" i="8"/>
  <c r="H13" i="8"/>
  <c r="G16" i="8"/>
  <c r="F13" i="8"/>
  <c r="E6" i="8"/>
  <c r="I5" i="8"/>
  <c r="H5" i="8"/>
  <c r="F5" i="8"/>
  <c r="I4" i="8"/>
  <c r="H4" i="8"/>
  <c r="G6" i="8"/>
  <c r="F4" i="8"/>
  <c r="F6" i="8" s="1"/>
  <c r="E36" i="7"/>
  <c r="F33" i="7"/>
  <c r="F36" i="7" s="1"/>
  <c r="G36" i="7" s="1"/>
  <c r="E33" i="7"/>
  <c r="H32" i="7"/>
  <c r="J32" i="7" s="1"/>
  <c r="G32" i="7"/>
  <c r="J31" i="7"/>
  <c r="I31" i="7"/>
  <c r="G31" i="7"/>
  <c r="J30" i="7"/>
  <c r="I30" i="7"/>
  <c r="G29" i="7"/>
  <c r="J28" i="7"/>
  <c r="I28" i="7"/>
  <c r="G28" i="7"/>
  <c r="I27" i="7"/>
  <c r="J27" i="7"/>
  <c r="G27" i="7"/>
  <c r="I26" i="7"/>
  <c r="J26" i="7"/>
  <c r="G26" i="7"/>
  <c r="I25" i="7"/>
  <c r="J25" i="7"/>
  <c r="G25" i="7"/>
  <c r="I24" i="7"/>
  <c r="J24" i="7"/>
  <c r="G24" i="7"/>
  <c r="I23" i="7"/>
  <c r="J23" i="7"/>
  <c r="G23" i="7"/>
  <c r="J22" i="7"/>
  <c r="I22" i="7"/>
  <c r="G22" i="7"/>
  <c r="H21" i="7"/>
  <c r="J21" i="7" s="1"/>
  <c r="G21" i="7"/>
  <c r="J20" i="7"/>
  <c r="G20" i="7"/>
  <c r="H33" i="7"/>
  <c r="H36" i="7" s="1"/>
  <c r="G19" i="7"/>
  <c r="J18" i="7"/>
  <c r="I18" i="7"/>
  <c r="G18" i="7"/>
  <c r="J17" i="7"/>
  <c r="I17" i="7"/>
  <c r="G17" i="7"/>
  <c r="J16" i="7"/>
  <c r="I16" i="7"/>
  <c r="G16" i="7"/>
  <c r="J15" i="7"/>
  <c r="I15" i="7"/>
  <c r="G15" i="7"/>
  <c r="J14" i="7"/>
  <c r="I14" i="7"/>
  <c r="G14" i="7"/>
  <c r="J13" i="7"/>
  <c r="I13" i="7"/>
  <c r="G13" i="7"/>
  <c r="J12" i="7"/>
  <c r="I12" i="7"/>
  <c r="G12" i="7"/>
  <c r="J11" i="7"/>
  <c r="I11" i="7"/>
  <c r="G11" i="7"/>
  <c r="J10" i="7"/>
  <c r="I10" i="7"/>
  <c r="G10" i="7"/>
  <c r="J9" i="7"/>
  <c r="I9" i="7"/>
  <c r="G9" i="7"/>
  <c r="J8" i="7"/>
  <c r="I8" i="7"/>
  <c r="G8" i="7"/>
  <c r="G6" i="7"/>
  <c r="J5" i="7"/>
  <c r="I5" i="7"/>
  <c r="H6" i="7"/>
  <c r="G5" i="7"/>
  <c r="H82" i="5"/>
  <c r="F82" i="5"/>
  <c r="K81" i="5"/>
  <c r="J81" i="5"/>
  <c r="H81" i="5"/>
  <c r="G81" i="5"/>
  <c r="L80" i="5"/>
  <c r="H80" i="5"/>
  <c r="G80" i="5"/>
  <c r="K79" i="5"/>
  <c r="I79" i="5"/>
  <c r="J79" i="5" s="1"/>
  <c r="H79" i="5"/>
  <c r="G79" i="5"/>
  <c r="I78" i="5"/>
  <c r="L78" i="5" s="1"/>
  <c r="H78" i="5"/>
  <c r="G78" i="5"/>
  <c r="K77" i="5"/>
  <c r="I77" i="5"/>
  <c r="J77" i="5" s="1"/>
  <c r="H77" i="5"/>
  <c r="G77" i="5"/>
  <c r="I76" i="5"/>
  <c r="L76" i="5" s="1"/>
  <c r="H76" i="5"/>
  <c r="G76" i="5"/>
  <c r="K75" i="5"/>
  <c r="I75" i="5"/>
  <c r="J75" i="5" s="1"/>
  <c r="H75" i="5"/>
  <c r="G75" i="5"/>
  <c r="I74" i="5"/>
  <c r="L74" i="5" s="1"/>
  <c r="H74" i="5"/>
  <c r="G74" i="5"/>
  <c r="K73" i="5"/>
  <c r="I73" i="5"/>
  <c r="J73" i="5" s="1"/>
  <c r="H73" i="5"/>
  <c r="G73" i="5"/>
  <c r="I72" i="5"/>
  <c r="L72" i="5" s="1"/>
  <c r="H72" i="5"/>
  <c r="G72" i="5"/>
  <c r="K71" i="5"/>
  <c r="I71" i="5"/>
  <c r="J71" i="5" s="1"/>
  <c r="H71" i="5"/>
  <c r="G71" i="5"/>
  <c r="L70" i="5"/>
  <c r="H70" i="5"/>
  <c r="G70" i="5"/>
  <c r="K69" i="5"/>
  <c r="J69" i="5"/>
  <c r="H69" i="5"/>
  <c r="G69" i="5"/>
  <c r="L68" i="5"/>
  <c r="H68" i="5"/>
  <c r="G68" i="5"/>
  <c r="K67" i="5"/>
  <c r="I67" i="5"/>
  <c r="J67" i="5" s="1"/>
  <c r="H67" i="5"/>
  <c r="G67" i="5"/>
  <c r="L66" i="5"/>
  <c r="H66" i="5"/>
  <c r="G66" i="5"/>
  <c r="K65" i="5"/>
  <c r="J65" i="5"/>
  <c r="H65" i="5"/>
  <c r="G65" i="5"/>
  <c r="I64" i="5"/>
  <c r="L64" i="5" s="1"/>
  <c r="H64" i="5"/>
  <c r="G64" i="5"/>
  <c r="K63" i="5"/>
  <c r="I63" i="5"/>
  <c r="J63" i="5" s="1"/>
  <c r="H63" i="5"/>
  <c r="G63" i="5"/>
  <c r="L62" i="5"/>
  <c r="K62" i="5"/>
  <c r="J62" i="5"/>
  <c r="H62" i="5"/>
  <c r="G62" i="5"/>
  <c r="L61" i="5"/>
  <c r="J61" i="5"/>
  <c r="I61" i="5"/>
  <c r="K61" i="5" s="1"/>
  <c r="H61" i="5"/>
  <c r="G61" i="5"/>
  <c r="L60" i="5"/>
  <c r="J60" i="5"/>
  <c r="K60" i="5"/>
  <c r="H60" i="5"/>
  <c r="G60" i="5"/>
  <c r="L59" i="5"/>
  <c r="K59" i="5"/>
  <c r="J59" i="5"/>
  <c r="I59" i="5"/>
  <c r="H59" i="5"/>
  <c r="G59" i="5"/>
  <c r="L58" i="5"/>
  <c r="J58" i="5"/>
  <c r="K58" i="5"/>
  <c r="H58" i="5"/>
  <c r="G58" i="5"/>
  <c r="L57" i="5"/>
  <c r="K57" i="5"/>
  <c r="J57" i="5"/>
  <c r="H57" i="5"/>
  <c r="G57" i="5"/>
  <c r="K56" i="5"/>
  <c r="I56" i="5"/>
  <c r="J56" i="5" s="1"/>
  <c r="H56" i="5"/>
  <c r="G56" i="5"/>
  <c r="I55" i="5"/>
  <c r="L55" i="5" s="1"/>
  <c r="H55" i="5"/>
  <c r="G55" i="5"/>
  <c r="L54" i="5"/>
  <c r="K54" i="5"/>
  <c r="J54" i="5"/>
  <c r="H54" i="5"/>
  <c r="G54" i="5"/>
  <c r="L53" i="5"/>
  <c r="I53" i="5"/>
  <c r="K53" i="5" s="1"/>
  <c r="H53" i="5"/>
  <c r="G53" i="5"/>
  <c r="J52" i="5"/>
  <c r="I52" i="5"/>
  <c r="L52" i="5" s="1"/>
  <c r="H52" i="5"/>
  <c r="G52" i="5"/>
  <c r="L51" i="5"/>
  <c r="I51" i="5"/>
  <c r="K51" i="5" s="1"/>
  <c r="H51" i="5"/>
  <c r="G51" i="5"/>
  <c r="J50" i="5"/>
  <c r="I50" i="5"/>
  <c r="L50" i="5" s="1"/>
  <c r="H50" i="5"/>
  <c r="G50" i="5"/>
  <c r="L49" i="5"/>
  <c r="K49" i="5"/>
  <c r="H49" i="5"/>
  <c r="G49" i="5"/>
  <c r="L48" i="5"/>
  <c r="K48" i="5"/>
  <c r="J48" i="5"/>
  <c r="H48" i="5"/>
  <c r="G48" i="5"/>
  <c r="L47" i="5"/>
  <c r="K47" i="5"/>
  <c r="H47" i="5"/>
  <c r="G47" i="5"/>
  <c r="K46" i="5"/>
  <c r="J46" i="5"/>
  <c r="I46" i="5"/>
  <c r="L46" i="5" s="1"/>
  <c r="H46" i="5"/>
  <c r="G46" i="5"/>
  <c r="L45" i="5"/>
  <c r="K45" i="5"/>
  <c r="H45" i="5"/>
  <c r="G45" i="5"/>
  <c r="K44" i="5"/>
  <c r="J44" i="5"/>
  <c r="L44" i="5"/>
  <c r="H44" i="5"/>
  <c r="G44" i="5"/>
  <c r="L43" i="5"/>
  <c r="K43" i="5"/>
  <c r="H43" i="5"/>
  <c r="G43" i="5"/>
  <c r="L42" i="5"/>
  <c r="K42" i="5"/>
  <c r="J42" i="5"/>
  <c r="H42" i="5"/>
  <c r="G42" i="5"/>
  <c r="L41" i="5"/>
  <c r="K41" i="5"/>
  <c r="J41" i="5"/>
  <c r="I41" i="5"/>
  <c r="H41" i="5"/>
  <c r="G41" i="5"/>
  <c r="L40" i="5"/>
  <c r="H40" i="5"/>
  <c r="G40" i="5"/>
  <c r="L39" i="5"/>
  <c r="K39" i="5"/>
  <c r="J39" i="5"/>
  <c r="H39" i="5"/>
  <c r="G39" i="5"/>
  <c r="L38" i="5"/>
  <c r="K38" i="5"/>
  <c r="J38" i="5"/>
  <c r="H38" i="5"/>
  <c r="G38" i="5"/>
  <c r="I37" i="5"/>
  <c r="L37" i="5" s="1"/>
  <c r="H37" i="5"/>
  <c r="G37" i="5"/>
  <c r="K36" i="5"/>
  <c r="I36" i="5"/>
  <c r="J36" i="5" s="1"/>
  <c r="H36" i="5"/>
  <c r="G36" i="5"/>
  <c r="L35" i="5"/>
  <c r="H35" i="5"/>
  <c r="G35" i="5"/>
  <c r="K34" i="5"/>
  <c r="I34" i="5"/>
  <c r="J34" i="5" s="1"/>
  <c r="H34" i="5"/>
  <c r="G34" i="5"/>
  <c r="L33" i="5"/>
  <c r="K33" i="5"/>
  <c r="J33" i="5"/>
  <c r="H33" i="5"/>
  <c r="G33" i="5"/>
  <c r="J32" i="5"/>
  <c r="L32" i="5"/>
  <c r="H32" i="5"/>
  <c r="G32" i="5"/>
  <c r="L31" i="5"/>
  <c r="K31" i="5"/>
  <c r="J31" i="5"/>
  <c r="H31" i="5"/>
  <c r="G31" i="5"/>
  <c r="I30" i="5"/>
  <c r="L30" i="5" s="1"/>
  <c r="H30" i="5"/>
  <c r="G30" i="5"/>
  <c r="K29" i="5"/>
  <c r="J29" i="5"/>
  <c r="I29" i="5"/>
  <c r="L29" i="5" s="1"/>
  <c r="H29" i="5"/>
  <c r="G29" i="5"/>
  <c r="L28" i="5"/>
  <c r="H28" i="5"/>
  <c r="G28" i="5"/>
  <c r="K27" i="5"/>
  <c r="I27" i="5"/>
  <c r="J27" i="5" s="1"/>
  <c r="H27" i="5"/>
  <c r="G27" i="5"/>
  <c r="I26" i="5"/>
  <c r="L26" i="5" s="1"/>
  <c r="H26" i="5"/>
  <c r="G26" i="5"/>
  <c r="K25" i="5"/>
  <c r="J25" i="5"/>
  <c r="H25" i="5"/>
  <c r="G25" i="5"/>
  <c r="L24" i="5"/>
  <c r="H24" i="5"/>
  <c r="G24" i="5"/>
  <c r="K23" i="5"/>
  <c r="I23" i="5"/>
  <c r="J23" i="5" s="1"/>
  <c r="H23" i="5"/>
  <c r="G23" i="5"/>
  <c r="I22" i="5"/>
  <c r="L22" i="5" s="1"/>
  <c r="H22" i="5"/>
  <c r="G22" i="5"/>
  <c r="K21" i="5"/>
  <c r="J21" i="5"/>
  <c r="H21" i="5"/>
  <c r="G21" i="5"/>
  <c r="L20" i="5"/>
  <c r="H20" i="5"/>
  <c r="G20" i="5"/>
  <c r="L19" i="5"/>
  <c r="K19" i="5"/>
  <c r="J19" i="5"/>
  <c r="I19" i="5"/>
  <c r="H19" i="5"/>
  <c r="G19" i="5"/>
  <c r="L18" i="5"/>
  <c r="H18" i="5"/>
  <c r="G18" i="5"/>
  <c r="K17" i="5"/>
  <c r="I17" i="5"/>
  <c r="J17" i="5" s="1"/>
  <c r="H17" i="5"/>
  <c r="G17" i="5"/>
  <c r="I16" i="5"/>
  <c r="L16" i="5" s="1"/>
  <c r="H16" i="5"/>
  <c r="G16" i="5"/>
  <c r="K15" i="5"/>
  <c r="J15" i="5"/>
  <c r="L15" i="5"/>
  <c r="H15" i="5"/>
  <c r="G15" i="5"/>
  <c r="L14" i="5"/>
  <c r="H14" i="5"/>
  <c r="G14" i="5"/>
  <c r="K13" i="5"/>
  <c r="I13" i="5"/>
  <c r="J13" i="5" s="1"/>
  <c r="H13" i="5"/>
  <c r="G13" i="5"/>
  <c r="I12" i="5"/>
  <c r="L12" i="5" s="1"/>
  <c r="H12" i="5"/>
  <c r="G12" i="5"/>
  <c r="K11" i="5"/>
  <c r="I11" i="5"/>
  <c r="J11" i="5" s="1"/>
  <c r="H11" i="5"/>
  <c r="G11" i="5"/>
  <c r="L10" i="5"/>
  <c r="H10" i="5"/>
  <c r="G10" i="5"/>
  <c r="K9" i="5"/>
  <c r="I9" i="5"/>
  <c r="J9" i="5" s="1"/>
  <c r="H9" i="5"/>
  <c r="G9" i="5"/>
  <c r="L8" i="5"/>
  <c r="H8" i="5"/>
  <c r="G8" i="5"/>
  <c r="K7" i="5"/>
  <c r="I7" i="5"/>
  <c r="J7" i="5" s="1"/>
  <c r="H7" i="5"/>
  <c r="G7" i="5"/>
  <c r="I6" i="5"/>
  <c r="L6" i="5" s="1"/>
  <c r="H6" i="5"/>
  <c r="G6" i="5"/>
  <c r="K5" i="5"/>
  <c r="I5" i="5"/>
  <c r="J5" i="5" s="1"/>
  <c r="H5" i="5"/>
  <c r="G5" i="5"/>
  <c r="G82" i="5" s="1"/>
  <c r="L93" i="4"/>
  <c r="K93" i="4"/>
  <c r="J93" i="4"/>
  <c r="H93" i="4"/>
  <c r="G93" i="4"/>
  <c r="L92" i="4"/>
  <c r="K92" i="4"/>
  <c r="J92" i="4"/>
  <c r="L91" i="4"/>
  <c r="K91" i="4"/>
  <c r="J91" i="4"/>
  <c r="L90" i="4"/>
  <c r="K90" i="4"/>
  <c r="J90" i="4"/>
  <c r="L89" i="4"/>
  <c r="J89" i="4"/>
  <c r="K89" i="4"/>
  <c r="L88" i="4"/>
  <c r="J88" i="4"/>
  <c r="I88" i="4"/>
  <c r="K88" i="4" s="1"/>
  <c r="L87" i="4"/>
  <c r="J87" i="4"/>
  <c r="I87" i="4"/>
  <c r="K87" i="4" s="1"/>
  <c r="L86" i="4"/>
  <c r="J86" i="4"/>
  <c r="I86" i="4"/>
  <c r="K86" i="4" s="1"/>
  <c r="L85" i="4"/>
  <c r="J85" i="4"/>
  <c r="I85" i="4"/>
  <c r="K85" i="4" s="1"/>
  <c r="L84" i="4"/>
  <c r="J84" i="4"/>
  <c r="I84" i="4"/>
  <c r="K84" i="4" s="1"/>
  <c r="L83" i="4"/>
  <c r="J83" i="4"/>
  <c r="I83" i="4"/>
  <c r="K83" i="4" s="1"/>
  <c r="L82" i="4"/>
  <c r="J82" i="4"/>
  <c r="I82" i="4"/>
  <c r="K82" i="4" s="1"/>
  <c r="L81" i="4"/>
  <c r="J81" i="4"/>
  <c r="I81" i="4"/>
  <c r="K81" i="4" s="1"/>
  <c r="H81" i="4"/>
  <c r="G81" i="4"/>
  <c r="L80" i="4"/>
  <c r="K80" i="4"/>
  <c r="J80" i="4"/>
  <c r="I80" i="4"/>
  <c r="H80" i="4"/>
  <c r="G80" i="4"/>
  <c r="L79" i="4"/>
  <c r="J79" i="4"/>
  <c r="K79" i="4"/>
  <c r="H79" i="4"/>
  <c r="G79" i="4"/>
  <c r="L78" i="4"/>
  <c r="K78" i="4"/>
  <c r="J78" i="4"/>
  <c r="I78" i="4"/>
  <c r="H78" i="4"/>
  <c r="G78" i="4"/>
  <c r="L77" i="4"/>
  <c r="J77" i="4"/>
  <c r="I77" i="4"/>
  <c r="K77" i="4" s="1"/>
  <c r="H77" i="4"/>
  <c r="G77" i="4"/>
  <c r="L76" i="4"/>
  <c r="K76" i="4"/>
  <c r="J76" i="4"/>
  <c r="H76" i="4"/>
  <c r="G76" i="4"/>
  <c r="L75" i="4"/>
  <c r="K75" i="4"/>
  <c r="J75" i="4"/>
  <c r="H75" i="4"/>
  <c r="G75" i="4"/>
  <c r="K74" i="4"/>
  <c r="I74" i="4"/>
  <c r="J74" i="4" s="1"/>
  <c r="H74" i="4"/>
  <c r="G74" i="4"/>
  <c r="I73" i="4"/>
  <c r="L73" i="4" s="1"/>
  <c r="H73" i="4"/>
  <c r="G73" i="4"/>
  <c r="K72" i="4"/>
  <c r="J72" i="4"/>
  <c r="H72" i="4"/>
  <c r="G72" i="4"/>
  <c r="L71" i="4"/>
  <c r="H71" i="4"/>
  <c r="G71" i="4"/>
  <c r="K70" i="4"/>
  <c r="I70" i="4"/>
  <c r="J70" i="4" s="1"/>
  <c r="H70" i="4"/>
  <c r="G70" i="4"/>
  <c r="L69" i="4"/>
  <c r="H69" i="4"/>
  <c r="G69" i="4"/>
  <c r="K68" i="4"/>
  <c r="I68" i="4"/>
  <c r="J68" i="4" s="1"/>
  <c r="H68" i="4"/>
  <c r="G68" i="4"/>
  <c r="I67" i="4"/>
  <c r="L67" i="4" s="1"/>
  <c r="H67" i="4"/>
  <c r="G67" i="4"/>
  <c r="K66" i="4"/>
  <c r="I66" i="4"/>
  <c r="J66" i="4" s="1"/>
  <c r="H66" i="4"/>
  <c r="G66" i="4"/>
  <c r="I65" i="4"/>
  <c r="L65" i="4" s="1"/>
  <c r="H65" i="4"/>
  <c r="G65" i="4"/>
  <c r="L64" i="4"/>
  <c r="K64" i="4"/>
  <c r="J64" i="4"/>
  <c r="H64" i="4"/>
  <c r="G64" i="4"/>
  <c r="L63" i="4"/>
  <c r="K63" i="4"/>
  <c r="J63" i="4"/>
  <c r="I63" i="4"/>
  <c r="H63" i="4"/>
  <c r="G63" i="4"/>
  <c r="L62" i="4"/>
  <c r="J62" i="4"/>
  <c r="I62" i="4"/>
  <c r="K62" i="4" s="1"/>
  <c r="H62" i="4"/>
  <c r="G62" i="4"/>
  <c r="L61" i="4"/>
  <c r="K61" i="4"/>
  <c r="J61" i="4"/>
  <c r="H61" i="4"/>
  <c r="G61" i="4"/>
  <c r="L60" i="4"/>
  <c r="K60" i="4"/>
  <c r="J60" i="4"/>
  <c r="H60" i="4"/>
  <c r="G60" i="4"/>
  <c r="K59" i="4"/>
  <c r="I59" i="4"/>
  <c r="J59" i="4" s="1"/>
  <c r="H59" i="4"/>
  <c r="G59" i="4"/>
  <c r="L58" i="4"/>
  <c r="H58" i="4"/>
  <c r="G58" i="4"/>
  <c r="K57" i="4"/>
  <c r="I57" i="4"/>
  <c r="J57" i="4" s="1"/>
  <c r="H57" i="4"/>
  <c r="G57" i="4"/>
  <c r="I56" i="4"/>
  <c r="L56" i="4" s="1"/>
  <c r="H56" i="4"/>
  <c r="G56" i="4"/>
  <c r="F56" i="4"/>
  <c r="F94" i="4" s="1"/>
  <c r="L55" i="4"/>
  <c r="K55" i="4"/>
  <c r="J55" i="4"/>
  <c r="I55" i="4"/>
  <c r="H55" i="4"/>
  <c r="G55" i="4"/>
  <c r="L54" i="4"/>
  <c r="J54" i="4"/>
  <c r="K54" i="4"/>
  <c r="H54" i="4"/>
  <c r="G54" i="4"/>
  <c r="L53" i="4"/>
  <c r="K53" i="4"/>
  <c r="J53" i="4"/>
  <c r="I53" i="4"/>
  <c r="H53" i="4"/>
  <c r="G53" i="4"/>
  <c r="L52" i="4"/>
  <c r="J52" i="4"/>
  <c r="K52" i="4"/>
  <c r="H52" i="4"/>
  <c r="G52" i="4"/>
  <c r="L51" i="4"/>
  <c r="K51" i="4"/>
  <c r="J51" i="4"/>
  <c r="I51" i="4"/>
  <c r="H51" i="4"/>
  <c r="G51" i="4"/>
  <c r="L50" i="4"/>
  <c r="J50" i="4"/>
  <c r="I50" i="4"/>
  <c r="K50" i="4" s="1"/>
  <c r="H50" i="4"/>
  <c r="G50" i="4"/>
  <c r="L49" i="4"/>
  <c r="K49" i="4"/>
  <c r="J49" i="4"/>
  <c r="I49" i="4"/>
  <c r="H49" i="4"/>
  <c r="G49" i="4"/>
  <c r="L48" i="4"/>
  <c r="J48" i="4"/>
  <c r="I48" i="4"/>
  <c r="K48" i="4" s="1"/>
  <c r="H48" i="4"/>
  <c r="G48" i="4"/>
  <c r="L47" i="4"/>
  <c r="K47" i="4"/>
  <c r="J47" i="4"/>
  <c r="H47" i="4"/>
  <c r="G47" i="4"/>
  <c r="L46" i="4"/>
  <c r="J46" i="4"/>
  <c r="I46" i="4"/>
  <c r="K46" i="4" s="1"/>
  <c r="H46" i="4"/>
  <c r="G46" i="4"/>
  <c r="L45" i="4"/>
  <c r="K45" i="4"/>
  <c r="J45" i="4"/>
  <c r="I45" i="4"/>
  <c r="H45" i="4"/>
  <c r="G45" i="4"/>
  <c r="L44" i="4"/>
  <c r="J44" i="4"/>
  <c r="I44" i="4"/>
  <c r="K44" i="4" s="1"/>
  <c r="H44" i="4"/>
  <c r="G44" i="4"/>
  <c r="L43" i="4"/>
  <c r="K43" i="4"/>
  <c r="J43" i="4"/>
  <c r="H43" i="4"/>
  <c r="G43" i="4"/>
  <c r="L42" i="4"/>
  <c r="K42" i="4"/>
  <c r="J42" i="4"/>
  <c r="H42" i="4"/>
  <c r="G42" i="4"/>
  <c r="L41" i="4"/>
  <c r="J41" i="4"/>
  <c r="I41" i="4"/>
  <c r="K41" i="4" s="1"/>
  <c r="H41" i="4"/>
  <c r="G41" i="4"/>
  <c r="L40" i="4"/>
  <c r="K40" i="4"/>
  <c r="J40" i="4"/>
  <c r="I40" i="4"/>
  <c r="H40" i="4"/>
  <c r="G40" i="4"/>
  <c r="L39" i="4"/>
  <c r="J39" i="4"/>
  <c r="K39" i="4"/>
  <c r="H39" i="4"/>
  <c r="G39" i="4"/>
  <c r="L38" i="4"/>
  <c r="J38" i="4"/>
  <c r="K38" i="4"/>
  <c r="H38" i="4"/>
  <c r="G38" i="4"/>
  <c r="L37" i="4"/>
  <c r="K37" i="4"/>
  <c r="J37" i="4"/>
  <c r="H37" i="4"/>
  <c r="G37" i="4"/>
  <c r="K36" i="4"/>
  <c r="I36" i="4"/>
  <c r="J36" i="4" s="1"/>
  <c r="H36" i="4"/>
  <c r="G36" i="4"/>
  <c r="I35" i="4"/>
  <c r="L35" i="4" s="1"/>
  <c r="H35" i="4"/>
  <c r="G35" i="4"/>
  <c r="K34" i="4"/>
  <c r="I34" i="4"/>
  <c r="J34" i="4" s="1"/>
  <c r="H34" i="4"/>
  <c r="G34" i="4"/>
  <c r="I33" i="4"/>
  <c r="L33" i="4" s="1"/>
  <c r="H33" i="4"/>
  <c r="G33" i="4"/>
  <c r="K32" i="4"/>
  <c r="I32" i="4"/>
  <c r="J32" i="4" s="1"/>
  <c r="H32" i="4"/>
  <c r="G32" i="4"/>
  <c r="L31" i="4"/>
  <c r="K31" i="4"/>
  <c r="J31" i="4"/>
  <c r="H31" i="4"/>
  <c r="G31" i="4"/>
  <c r="L30" i="4"/>
  <c r="J30" i="4"/>
  <c r="I30" i="4"/>
  <c r="K30" i="4" s="1"/>
  <c r="H30" i="4"/>
  <c r="G30" i="4"/>
  <c r="L29" i="4"/>
  <c r="J29" i="4"/>
  <c r="I29" i="4"/>
  <c r="K29" i="4" s="1"/>
  <c r="H29" i="4"/>
  <c r="G29" i="4"/>
  <c r="L28" i="4"/>
  <c r="J28" i="4"/>
  <c r="I28" i="4"/>
  <c r="K28" i="4" s="1"/>
  <c r="H28" i="4"/>
  <c r="G28" i="4"/>
  <c r="L27" i="4"/>
  <c r="J27" i="4"/>
  <c r="I27" i="4"/>
  <c r="K27" i="4" s="1"/>
  <c r="H27" i="4"/>
  <c r="G27" i="4"/>
  <c r="L26" i="4"/>
  <c r="J26" i="4"/>
  <c r="K26" i="4"/>
  <c r="H26" i="4"/>
  <c r="G26" i="4"/>
  <c r="L25" i="4"/>
  <c r="K25" i="4"/>
  <c r="J25" i="4"/>
  <c r="I25" i="4"/>
  <c r="H25" i="4"/>
  <c r="G25" i="4"/>
  <c r="L24" i="4"/>
  <c r="J24" i="4"/>
  <c r="K24" i="4"/>
  <c r="H24" i="4"/>
  <c r="G24" i="4"/>
  <c r="L23" i="4"/>
  <c r="K23" i="4"/>
  <c r="J23" i="4"/>
  <c r="I23" i="4"/>
  <c r="H23" i="4"/>
  <c r="G23" i="4"/>
  <c r="L22" i="4"/>
  <c r="J22" i="4"/>
  <c r="K22" i="4"/>
  <c r="H22" i="4"/>
  <c r="G22" i="4"/>
  <c r="L21" i="4"/>
  <c r="K21" i="4"/>
  <c r="J21" i="4"/>
  <c r="H21" i="4"/>
  <c r="G21" i="4"/>
  <c r="L20" i="4"/>
  <c r="J20" i="4"/>
  <c r="I20" i="4"/>
  <c r="K20" i="4" s="1"/>
  <c r="H20" i="4"/>
  <c r="G20" i="4"/>
  <c r="L19" i="4"/>
  <c r="K19" i="4"/>
  <c r="J19" i="4"/>
  <c r="I19" i="4"/>
  <c r="H19" i="4"/>
  <c r="G19" i="4"/>
  <c r="L18" i="4"/>
  <c r="J18" i="4"/>
  <c r="K18" i="4"/>
  <c r="H18" i="4"/>
  <c r="G18" i="4"/>
  <c r="L17" i="4"/>
  <c r="K17" i="4"/>
  <c r="J17" i="4"/>
  <c r="H17" i="4"/>
  <c r="G17" i="4"/>
  <c r="I16" i="4"/>
  <c r="L16" i="4" s="1"/>
  <c r="H16" i="4"/>
  <c r="G16" i="4"/>
  <c r="K15" i="4"/>
  <c r="I15" i="4"/>
  <c r="J15" i="4" s="1"/>
  <c r="H15" i="4"/>
  <c r="G15" i="4"/>
  <c r="L14" i="4"/>
  <c r="K14" i="4"/>
  <c r="J14" i="4"/>
  <c r="H14" i="4"/>
  <c r="G14" i="4"/>
  <c r="L13" i="4"/>
  <c r="J13" i="4"/>
  <c r="I13" i="4"/>
  <c r="K13" i="4" s="1"/>
  <c r="H13" i="4"/>
  <c r="G13" i="4"/>
  <c r="L12" i="4"/>
  <c r="K12" i="4"/>
  <c r="J12" i="4"/>
  <c r="H12" i="4"/>
  <c r="G12" i="4"/>
  <c r="L11" i="4"/>
  <c r="J11" i="4"/>
  <c r="K11" i="4"/>
  <c r="H11" i="4"/>
  <c r="G11" i="4"/>
  <c r="L10" i="4"/>
  <c r="K10" i="4"/>
  <c r="J10" i="4"/>
  <c r="I10" i="4"/>
  <c r="H10" i="4"/>
  <c r="G10" i="4"/>
  <c r="L9" i="4"/>
  <c r="J9" i="4"/>
  <c r="I9" i="4"/>
  <c r="K9" i="4" s="1"/>
  <c r="H9" i="4"/>
  <c r="G9" i="4"/>
  <c r="L8" i="4"/>
  <c r="K8" i="4"/>
  <c r="J8" i="4"/>
  <c r="I8" i="4"/>
  <c r="H8" i="4"/>
  <c r="G8" i="4"/>
  <c r="L7" i="4"/>
  <c r="J7" i="4"/>
  <c r="I7" i="4"/>
  <c r="K7" i="4" s="1"/>
  <c r="H7" i="4"/>
  <c r="G7" i="4"/>
  <c r="L6" i="4"/>
  <c r="K6" i="4"/>
  <c r="J6" i="4"/>
  <c r="H6" i="4"/>
  <c r="H94" i="4" s="1"/>
  <c r="G6" i="4"/>
  <c r="L5" i="4"/>
  <c r="J5" i="4"/>
  <c r="I5" i="4"/>
  <c r="I94" i="4" s="1"/>
  <c r="H5" i="4"/>
  <c r="G5" i="4"/>
  <c r="G94" i="4" s="1"/>
  <c r="K94" i="4" l="1"/>
  <c r="I31" i="8"/>
  <c r="G32" i="8"/>
  <c r="F27" i="8"/>
  <c r="H27" i="8"/>
  <c r="E32" i="8"/>
  <c r="F32" i="8" s="1"/>
  <c r="H6" i="8"/>
  <c r="I6" i="8"/>
  <c r="H16" i="8"/>
  <c r="I16" i="8"/>
  <c r="F16" i="8"/>
  <c r="H31" i="8"/>
  <c r="J6" i="7"/>
  <c r="I6" i="7"/>
  <c r="I33" i="7"/>
  <c r="J33" i="7"/>
  <c r="I19" i="7"/>
  <c r="I20" i="7"/>
  <c r="I21" i="7"/>
  <c r="I32" i="7"/>
  <c r="G33" i="7"/>
  <c r="J19" i="7"/>
  <c r="L5" i="5"/>
  <c r="J6" i="5"/>
  <c r="L7" i="5"/>
  <c r="J8" i="5"/>
  <c r="L9" i="5"/>
  <c r="J10" i="5"/>
  <c r="L11" i="5"/>
  <c r="J12" i="5"/>
  <c r="L13" i="5"/>
  <c r="J14" i="5"/>
  <c r="J16" i="5"/>
  <c r="L17" i="5"/>
  <c r="J18" i="5"/>
  <c r="J20" i="5"/>
  <c r="L21" i="5"/>
  <c r="J22" i="5"/>
  <c r="L23" i="5"/>
  <c r="J24" i="5"/>
  <c r="L25" i="5"/>
  <c r="J26" i="5"/>
  <c r="L27" i="5"/>
  <c r="J28" i="5"/>
  <c r="J30" i="5"/>
  <c r="K32" i="5"/>
  <c r="L34" i="5"/>
  <c r="J35" i="5"/>
  <c r="L36" i="5"/>
  <c r="J37" i="5"/>
  <c r="J40" i="5"/>
  <c r="K50" i="5"/>
  <c r="K52" i="5"/>
  <c r="J55" i="5"/>
  <c r="L56" i="5"/>
  <c r="L63" i="5"/>
  <c r="J64" i="5"/>
  <c r="L65" i="5"/>
  <c r="J66" i="5"/>
  <c r="L67" i="5"/>
  <c r="J68" i="5"/>
  <c r="L69" i="5"/>
  <c r="J70" i="5"/>
  <c r="L71" i="5"/>
  <c r="J72" i="5"/>
  <c r="L73" i="5"/>
  <c r="J74" i="5"/>
  <c r="L75" i="5"/>
  <c r="J76" i="5"/>
  <c r="L77" i="5"/>
  <c r="J78" i="5"/>
  <c r="L79" i="5"/>
  <c r="J80" i="5"/>
  <c r="L81" i="5"/>
  <c r="I82" i="5"/>
  <c r="K82" i="5" s="1"/>
  <c r="K6" i="5"/>
  <c r="K8" i="5"/>
  <c r="K10" i="5"/>
  <c r="K12" i="5"/>
  <c r="K14" i="5"/>
  <c r="K16" i="5"/>
  <c r="K18" i="5"/>
  <c r="K20" i="5"/>
  <c r="K22" i="5"/>
  <c r="K24" i="5"/>
  <c r="K26" i="5"/>
  <c r="K28" i="5"/>
  <c r="K30" i="5"/>
  <c r="K35" i="5"/>
  <c r="K37" i="5"/>
  <c r="K40" i="5"/>
  <c r="J43" i="5"/>
  <c r="J45" i="5"/>
  <c r="J47" i="5"/>
  <c r="J49" i="5"/>
  <c r="J51" i="5"/>
  <c r="J53" i="5"/>
  <c r="K55" i="5"/>
  <c r="K64" i="5"/>
  <c r="K66" i="5"/>
  <c r="K68" i="5"/>
  <c r="K70" i="5"/>
  <c r="K72" i="5"/>
  <c r="K74" i="5"/>
  <c r="K76" i="5"/>
  <c r="K78" i="5"/>
  <c r="K80" i="5"/>
  <c r="K5" i="4"/>
  <c r="L15" i="4"/>
  <c r="J16" i="4"/>
  <c r="L32" i="4"/>
  <c r="J33" i="4"/>
  <c r="L34" i="4"/>
  <c r="J35" i="4"/>
  <c r="L36" i="4"/>
  <c r="J56" i="4"/>
  <c r="L57" i="4"/>
  <c r="L59" i="4"/>
  <c r="J65" i="4"/>
  <c r="L66" i="4"/>
  <c r="J67" i="4"/>
  <c r="L68" i="4"/>
  <c r="J69" i="4"/>
  <c r="L70" i="4"/>
  <c r="J71" i="4"/>
  <c r="L72" i="4"/>
  <c r="J73" i="4"/>
  <c r="L74" i="4"/>
  <c r="K16" i="4"/>
  <c r="K33" i="4"/>
  <c r="K35" i="4"/>
  <c r="K56" i="4"/>
  <c r="K58" i="4"/>
  <c r="K65" i="4"/>
  <c r="K67" i="4"/>
  <c r="K69" i="4"/>
  <c r="K71" i="4"/>
  <c r="K73" i="4"/>
  <c r="J25" i="2"/>
  <c r="J26" i="2" s="1"/>
  <c r="F25" i="2"/>
  <c r="F26" i="2" s="1"/>
  <c r="K24" i="2"/>
  <c r="I24" i="2"/>
  <c r="G24" i="2"/>
  <c r="K23" i="2"/>
  <c r="G23" i="2"/>
  <c r="I23" i="2" s="1"/>
  <c r="I22" i="2"/>
  <c r="G22" i="2"/>
  <c r="K22" i="2" s="1"/>
  <c r="K18" i="2"/>
  <c r="G18" i="2"/>
  <c r="I18" i="2" s="1"/>
  <c r="I17" i="2"/>
  <c r="G17" i="2"/>
  <c r="K16" i="2"/>
  <c r="H16" i="2"/>
  <c r="I16" i="2" s="1"/>
  <c r="G16" i="2"/>
  <c r="K15" i="2"/>
  <c r="J15" i="2"/>
  <c r="I15" i="2"/>
  <c r="G15" i="2"/>
  <c r="K14" i="2"/>
  <c r="J14" i="2"/>
  <c r="I14" i="2"/>
  <c r="G14" i="2"/>
  <c r="K13" i="2"/>
  <c r="H13" i="2"/>
  <c r="I13" i="2" s="1"/>
  <c r="G13" i="2"/>
  <c r="K12" i="2"/>
  <c r="H12" i="2"/>
  <c r="G12" i="2"/>
  <c r="J94" i="4" l="1"/>
  <c r="G25" i="2"/>
  <c r="G26" i="2" s="1"/>
  <c r="K25" i="2"/>
  <c r="J82" i="5"/>
  <c r="I32" i="8"/>
  <c r="H32" i="8"/>
  <c r="J36" i="7"/>
  <c r="I36" i="7"/>
  <c r="H25" i="2"/>
  <c r="I25" i="2" s="1"/>
  <c r="K26" i="2"/>
  <c r="I12" i="2"/>
  <c r="H26" i="2" l="1"/>
  <c r="I26" i="2" s="1"/>
</calcChain>
</file>

<file path=xl/comments1.xml><?xml version="1.0" encoding="utf-8"?>
<comments xmlns="http://schemas.openxmlformats.org/spreadsheetml/2006/main">
  <authors>
    <author>MINGOR</author>
  </authors>
  <commentList>
    <comment ref="F82" authorId="0" shapeId="0">
      <text>
        <r>
          <rPr>
            <b/>
            <sz val="9"/>
            <color indexed="81"/>
            <rFont val="Segoe UI"/>
            <family val="2"/>
            <charset val="238"/>
          </rPr>
          <t>MINGOR:</t>
        </r>
        <r>
          <rPr>
            <sz val="9"/>
            <color indexed="81"/>
            <rFont val="Segoe UI"/>
            <family val="2"/>
            <charset val="238"/>
          </rPr>
          <t xml:space="preserve">
Projekt je notificiran EK 27.11.2020.</t>
        </r>
      </text>
    </comment>
  </commentList>
</comments>
</file>

<file path=xl/comments2.xml><?xml version="1.0" encoding="utf-8"?>
<comments xmlns="http://schemas.openxmlformats.org/spreadsheetml/2006/main">
  <authors>
    <author>Goran Grgurić</author>
  </authors>
  <commentList>
    <comment ref="L34" authorId="0" shapeId="0">
      <text>
        <r>
          <rPr>
            <b/>
            <sz val="9"/>
            <color indexed="81"/>
            <rFont val="Segoe UI"/>
            <family val="2"/>
            <charset val="238"/>
          </rPr>
          <t>Goran Grgurić:</t>
        </r>
        <r>
          <rPr>
            <sz val="9"/>
            <color indexed="81"/>
            <rFont val="Segoe UI"/>
            <family val="2"/>
            <charset val="238"/>
          </rPr>
          <t xml:space="preserve">
nedostaje DON: Izrađene su radne verzije DON-ova koje 
je potrebno novelirati.</t>
        </r>
      </text>
    </comment>
  </commentList>
</comments>
</file>

<file path=xl/comments3.xml><?xml version="1.0" encoding="utf-8"?>
<comments xmlns="http://schemas.openxmlformats.org/spreadsheetml/2006/main">
  <authors>
    <author>tc={043AE358-F632-450A-8ADB-45E04D14C786}</author>
    <author>tc={CBC4235A-4BEB-4EB1-9B86-A3E19975BE03}</author>
    <author>tc={A529C0EF-4418-4887-9E4F-844771DB664E}</author>
    <author>tc={ED680CA9-E64A-4FBE-B22A-9A6F8F1EDCCE}</author>
  </authors>
  <commentList>
    <comment ref="AL12" authorId="0" shapeId="0">
      <text>
        <r>
          <rPr>
            <sz val="11"/>
            <color theme="1"/>
            <rFont val="Calibri"/>
            <family val="2"/>
            <charset val="238"/>
            <scheme val="minor"/>
          </rPr>
          <t>[Threaded comment]
Your version of Excel allows you to read this threaded comment; however, any edits to it will get removed if the file is opened in a newer version of Excel. Learn more: https://go.microsoft.com/fwlink/?linkid=870924
Comment:
    Odgovara iznosu koji je moguće prijaviti za certificiranje EK</t>
        </r>
      </text>
    </comment>
    <comment ref="AM12" authorId="1" shapeId="0">
      <text>
        <r>
          <rPr>
            <sz val="11"/>
            <color theme="1"/>
            <rFont val="Calibri"/>
            <family val="2"/>
            <charset val="238"/>
            <scheme val="minor"/>
          </rPr>
          <t>[Threaded comment]
Your version of Excel allows you to read this threaded comment; however, any edits to it will get removed if the file is opened in a newer version of Excel. Learn more: https://go.microsoft.com/fwlink/?linkid=870924
Comment:
    S izvršenim povratima</t>
        </r>
      </text>
    </comment>
    <comment ref="AM25" authorId="2" shapeId="0">
      <text>
        <r>
          <rPr>
            <sz val="11"/>
            <color theme="1"/>
            <rFont val="Calibri"/>
            <family val="2"/>
            <charset val="238"/>
            <scheme val="minor"/>
          </rPr>
          <t>[Threaded comment]
Your version of Excel allows you to read this threaded comment; however, any edits to it will get removed if the file is opened in a newer version of Excel. Learn more: https://go.microsoft.com/fwlink/?linkid=870924
Comment:
    ovo je isplaćeno s HB stavki proračuna</t>
        </r>
      </text>
    </comment>
    <comment ref="AM50" authorId="3" shapeId="0">
      <text>
        <r>
          <rPr>
            <sz val="11"/>
            <color theme="1"/>
            <rFont val="Calibri"/>
            <family val="2"/>
            <charset val="238"/>
            <scheme val="minor"/>
          </rPr>
          <t>[Threaded comment]
Your version of Excel allows you to read this threaded comment; however, any edits to it will get removed if the file is opened in a newer version of Excel. Learn more: https://go.microsoft.com/fwlink/?linkid=870924
Comment:
    ZBROJ SADRŽI ISPLATU ZA FINANC.INSTRUM. ZA HBOR JER JE ISPLAĆENO IZ NAŠEG PRORAČUNA</t>
        </r>
      </text>
    </comment>
  </commentList>
</comments>
</file>

<file path=xl/sharedStrings.xml><?xml version="1.0" encoding="utf-8"?>
<sst xmlns="http://schemas.openxmlformats.org/spreadsheetml/2006/main" count="3187" uniqueCount="2153">
  <si>
    <t>OPKK sažetak</t>
  </si>
  <si>
    <t>Prioritetna os</t>
  </si>
  <si>
    <t>Izabrani investicijski prioritet</t>
  </si>
  <si>
    <t>Specifični cilj (SC)</t>
  </si>
  <si>
    <t>Naziv specifičnog cilja</t>
  </si>
  <si>
    <t>Ukupna alokacija (EUR)</t>
  </si>
  <si>
    <t>Ukupna alokacija (HRK)</t>
  </si>
  <si>
    <t>Ugovoreno (HRK)</t>
  </si>
  <si>
    <t>Ugovoreno (%)</t>
  </si>
  <si>
    <t>Plaćeno (HRK)</t>
  </si>
  <si>
    <t>Plaćeno (%)</t>
  </si>
  <si>
    <t xml:space="preserve">komentari </t>
  </si>
  <si>
    <t>1. Jačanje gospodarstva primjenom istraživanja i inovacija</t>
  </si>
  <si>
    <t>Promicanje poslovnih ulaganja u inovacijama i istraživanjima te razvoj veza i sinergija između poduzeća, IR centara i visokog obrazovanja, osobito razvoja proizvoda i usluga, tehnološko povezivanje, socijalna inovacija, ekološka inovacija, kulturna i kreativna industrija, usluge javnog servisa, zahtjevi za poticajima, umrežavanje, klasteri i otvorena inovacija kroz pametnu specijalizaciju, tehnološko jačanje i primijenjeno istraživanje, pilot linije, pred proizvodna provjera valjanosti, napredne proizvodne mogućnosti i početne proizvodnje, osobito u Ključnim tehnologijama koje potiču razvoj i inovacije i širenje tehnologija za opću namjenu</t>
  </si>
  <si>
    <t>1b1</t>
  </si>
  <si>
    <t>Novi proizvodi i usluge kao rezultat djelatnosti istraživanja, razvoja i inovacija (IRI)</t>
  </si>
  <si>
    <t>1b2</t>
  </si>
  <si>
    <t>Jačanje djelatnosti istraživanja, razvoja i inovacija (IRI) poslovnog sektora kroz stvaranje povoljnog inovacijskog okruženja</t>
  </si>
  <si>
    <t>3. Poslovna konkurentnost</t>
  </si>
  <si>
    <t>Promicanje poduzetništva, posebno olakšavajući ekonomsko iskorištavanje novih ideja i poticanje stvaranja novih poduzeća, uključujući putem poslovnih inkubatora</t>
  </si>
  <si>
    <t>3a1</t>
  </si>
  <si>
    <t>Bolji pristup financiranju za male i srednje poduzetnike</t>
  </si>
  <si>
    <t>3a2</t>
  </si>
  <si>
    <t>Omogućavanje povoljnog okruženja za razvoj poduzetništva</t>
  </si>
  <si>
    <t>Podupiranje kapaciteta MSP -ova za rast na regionalnom, međunarodnom tržištu te angažiranost u inovacijskim procesima</t>
  </si>
  <si>
    <t>3d1</t>
  </si>
  <si>
    <t>Poboljšan razvoj i rast malih i srednjih poduzetnika na domaćim i stranim tržištima</t>
  </si>
  <si>
    <t>3d2</t>
  </si>
  <si>
    <t>Poboljšana inovativnost malih i srednjih poduzetnika</t>
  </si>
  <si>
    <t>Tečaj 1€ = 7.6 HRK</t>
  </si>
  <si>
    <t>Ukupno prioritetne osi 1 i 3</t>
  </si>
  <si>
    <t>4. Promicanje energetske učinkovitosti i obnovljivih izvora energije</t>
  </si>
  <si>
    <t>Promicanje energetske učinkovitosti i korištenja obnovljivih izvora energije u poduzećima</t>
  </si>
  <si>
    <t>4b1</t>
  </si>
  <si>
    <t>Povećanje energetske učinkovitosti i korištenja OIE u proizvodnim industrijama</t>
  </si>
  <si>
    <t>4b2</t>
  </si>
  <si>
    <t>Povećanje energetske učinkovitosti i korištenja OIE u privatnom uslužnom sektoru (turizam i trgovina)</t>
  </si>
  <si>
    <t>4c4</t>
  </si>
  <si>
    <t>Povećanje sustava učinkovitosti javne rasvjete</t>
  </si>
  <si>
    <t>Razvoj i provedba pametnih sustava distribucije koji djeluju pri niskim i srednjim razinama napona</t>
  </si>
  <si>
    <t>4d1</t>
  </si>
  <si>
    <t>Pilot-projekt uvođenja naprednih mreža</t>
  </si>
  <si>
    <t>5. Klimatske promjene i upravljanje rizicima</t>
  </si>
  <si>
    <t>Podupiranje ulaganja za prilagodbu na klimatske promjene, uključujući pristupe temeljene na ekosustavu</t>
  </si>
  <si>
    <t>5a1</t>
  </si>
  <si>
    <t>Poboljšanje praćenja, predviđanja i planiranja mjera prilagodbe klimatskim promjenama</t>
  </si>
  <si>
    <t>5b1</t>
  </si>
  <si>
    <t>Jačanje sustava upravljanja katastrofama</t>
  </si>
  <si>
    <t>umanjena alokacija</t>
  </si>
  <si>
    <t>6. Zaštita okoliša i održivost resursa</t>
  </si>
  <si>
    <t>Aktivnosti kojima se poboljšava urbani okoliš, revitalizacija gradova, obnova i dekontaminacija nekadašnjeg industrijskog zemljišta (uključujući prenamijenjena područja), smanjenje zagađenja zraka i promicanje mjera za smanjenje buke</t>
  </si>
  <si>
    <t>6e1</t>
  </si>
  <si>
    <t>Poboljšanje sustava upravljanja i praćenja kvalitete zraka sukladno Uredbi 2008/50/EZ</t>
  </si>
  <si>
    <t>Ulaganje u sektor otpada kako bi se ispunili zahtjevi pravne stečevine Unije u području okoliša i zadovoljile potrebe koje su utvrdile države članice za ulaganjem koje nadilazi te zahtjeve</t>
  </si>
  <si>
    <t>6i1</t>
  </si>
  <si>
    <t>Smanjena količina otpada koji se odlaže na odlagališta</t>
  </si>
  <si>
    <t>Ulaganje u vodni sektor kako bi se ispunili zahtjevi pravne stečevine Unije u području okoliša i zadovoljile potrebe koje su utvrdile države članice za ulaganjem koje nadilazi te zahtjeve</t>
  </si>
  <si>
    <t>6ii1</t>
  </si>
  <si>
    <t>Unaprjeđenje javnog vodoopskrbnog sustava u svrhu osiguranja kvalitete i sigurnosti usluga opskrbe pitkom vodom</t>
  </si>
  <si>
    <t>6ii2</t>
  </si>
  <si>
    <t>Razvoj sustava prikupljanja i obrade otpadnih voda s ciljem doprinosa poboljšanju stanja voda</t>
  </si>
  <si>
    <t>Zaštita i obnova biološke raznolikosti i tla te promicanje eko usluga, uključujući NATURA 2000 i »zelenu« infrastrukturu</t>
  </si>
  <si>
    <t>6iii1</t>
  </si>
  <si>
    <t>Poboljšano znanje o stanju bioraznolikosti kao temelja za učinkovito praćenje i upravljanje bioraznolikošću</t>
  </si>
  <si>
    <t>6iii2</t>
  </si>
  <si>
    <t>Uspostava okvira za održivo upravljanje bioraznolikošću (primarno Natura 2000)</t>
  </si>
  <si>
    <t>6iii3</t>
  </si>
  <si>
    <t>Razminiranje, obnova i zaštita šuma i šumskog zemljišta u zaštićenim i Natura 2000 područjima</t>
  </si>
  <si>
    <t>Ukupno prioritetne osi 4,5 i 6</t>
  </si>
  <si>
    <t xml:space="preserve">TOTAL </t>
  </si>
  <si>
    <t>PRIORITET 4</t>
  </si>
  <si>
    <t>OPKK - ENERGETIKA (Specifični cilj 4b1)                  ALOKACIJA: 60 milijuna EUR odnosno 456 milijuna HRK</t>
  </si>
  <si>
    <t>Poziv</t>
  </si>
  <si>
    <t>Vrijednost/HRK</t>
  </si>
  <si>
    <t>Datum objave</t>
  </si>
  <si>
    <t>Status</t>
  </si>
  <si>
    <t>Komentar</t>
  </si>
  <si>
    <t>15.10.2020.</t>
  </si>
  <si>
    <t>PRIORITET 5</t>
  </si>
  <si>
    <t>OPKK - VODE (Specifični cilj 5b1)                   ALOKACIJA: 215 milijuna EUR odnosno 1,6 milijardi HRK</t>
  </si>
  <si>
    <t>ALOKACIJA BEZ PF REZERVE: 200,7 milijuna EUR odnosno 1,52 milijarde HRK</t>
  </si>
  <si>
    <t>PRIORITET 6</t>
  </si>
  <si>
    <t>OPKK - ZRAK (Specifični ciljevi 6e1)                         ALOKACIJA: 20 mil. EUR odnosno 152 mil. HRK - UGOVORENA ČITAVA ALOKACIJA - nema planiranih novih poziva</t>
  </si>
  <si>
    <t>OPKK - OTPAD (Specifični cilj 6i1)                         ALOKACIJA: 376 mil. EUR odnosno 2,86 milijarda HRK</t>
  </si>
  <si>
    <t>Izgradnja i/Ili opremanje postrojenja za sortiranje</t>
  </si>
  <si>
    <t>zatvoren 30.6.2020.</t>
  </si>
  <si>
    <t>Izgradnja i opremanje postrojenja za biološku obradu odvojeno sakupljenog biootpada</t>
  </si>
  <si>
    <t>zatvoren 1.10.2020.</t>
  </si>
  <si>
    <t>Nabava komunalnih vozila za odvojeno prikupljanje otpada</t>
  </si>
  <si>
    <t>Uspostava reciklažnih dvorišta</t>
  </si>
  <si>
    <t>OPKK - VODE (Specifični cilj 6ii)                   ALOKACIJA: 1.049 milijardi EUR odnosno 7,9 milijardi HRK</t>
  </si>
  <si>
    <t>OPKK - PRIRODA (Specifični ciljevi 6iii)                         ALOKACIJA: 125 mil. EUR odnosno 950 mil. HRK</t>
  </si>
  <si>
    <t>Unapređenje i povećanje kapaciteta oporavilišta za divlje životinje</t>
  </si>
  <si>
    <t>5.4.2019.</t>
  </si>
  <si>
    <t>zatvoren 18.5.2020.</t>
  </si>
  <si>
    <t xml:space="preserve">Izrada šumskogospodarskih planova kao planova upravljanja ekološkom mrežom – Ecomanager </t>
  </si>
  <si>
    <t>u pripremi</t>
  </si>
  <si>
    <t>Kontrola populacije i sprečavanje širenja invazivnih tropskih algi iz roda Caulerpa u Nacionalnom parku Mljet</t>
  </si>
  <si>
    <t>Razminiranje i zaštita šuma na kršu u Natura 2000 područjima u jugozapadnom dijelu Karlovačke županije - Karlovac Karst</t>
  </si>
  <si>
    <t>SC 4b1</t>
  </si>
  <si>
    <t>€=7,6 HRK</t>
  </si>
  <si>
    <t>Alokacija bespovratna sredstva</t>
  </si>
  <si>
    <t>R.br.</t>
  </si>
  <si>
    <t>Br.ug.</t>
  </si>
  <si>
    <t>KORISNIK</t>
  </si>
  <si>
    <t>Naziv projekta</t>
  </si>
  <si>
    <t>Ugovoreno bespovratna sredstva (HRK)</t>
  </si>
  <si>
    <t>Ugovoreno (€)</t>
  </si>
  <si>
    <t>% od alokacije</t>
  </si>
  <si>
    <t>Plaćeno (€)</t>
  </si>
  <si>
    <t>% od ugovorenog</t>
  </si>
  <si>
    <t>Napomena</t>
  </si>
  <si>
    <t>A.M.S. - BIOMASA d.o.o.</t>
  </si>
  <si>
    <t xml:space="preserve"> Uvođenje obnovljivih izvora energije u proizvodni proces tvrtke A.M.S. BIOMASA d.o.o., izdvojeni pogon Virovitica </t>
  </si>
  <si>
    <t>projekt završen</t>
  </si>
  <si>
    <t>ADORO d.o.o. za proizvodnju</t>
  </si>
  <si>
    <t xml:space="preserve"> Povećanje energetske učinkovitosti i korištenja obnovljivih izvora energije u proizvodnom pogonu tvrtke Adoro </t>
  </si>
  <si>
    <t>ADRIATEH d.o.o.</t>
  </si>
  <si>
    <t xml:space="preserve"> Izgradnja fotonaponske elektrane ADRIATEH za potrebe proizvodnog pogona </t>
  </si>
  <si>
    <t>ANCONA GRUPA d.o.o.</t>
  </si>
  <si>
    <t xml:space="preserve"> Izgradnja fotonaponske elektrane Ancona Grupa za potrebe proizvodnog pogona </t>
  </si>
  <si>
    <t>APIPHARMA d.o.o.</t>
  </si>
  <si>
    <t xml:space="preserve"> Izgradnja fotonaponske elektrane APIPHARM za potrebe proizvodnog pogona </t>
  </si>
  <si>
    <t>AquafilCRO d.o.o.</t>
  </si>
  <si>
    <t xml:space="preserve"> Izgradnja fotonaponske elektrane AquafilCRO za potrebe proizvodnog pogona </t>
  </si>
  <si>
    <t>BRODOGRAĐEVNA INDUSTRIJA SPLIT d.d.</t>
  </si>
  <si>
    <t xml:space="preserve"> Povećanje energetske učinkovitosti u projektnoj cjelini tvrtke Brodograđevna industrija Split d.d. </t>
  </si>
  <si>
    <t>BRODOSPLIT - BRODOGRADILIŠTE SPECIJALNIH OBJEKATA d.o.o.</t>
  </si>
  <si>
    <t xml:space="preserve"> Povećanje energetske učinkovitosti u projektnoj cjelini tvrtke Brodosplit - Brodogradilište specijalnih objekata d.o.o. </t>
  </si>
  <si>
    <t>CENTROMETAL d.o.o.</t>
  </si>
  <si>
    <t xml:space="preserve"> Sunčana elektrana Centrometal 2 </t>
  </si>
  <si>
    <t>CINČAONA HELENA d.o.o.</t>
  </si>
  <si>
    <t xml:space="preserve"> Izgradnja fotonaponske elektrane CINČAONA HELENA za potrebe proizvodnog pogona </t>
  </si>
  <si>
    <t xml:space="preserve"> Povećanje energetske učinkovitosti i korištenja obnovljivih izvora energije u tvrtki Dalekovod proizvodnja d.o.o. </t>
  </si>
  <si>
    <t>DELTA - DRAGUN d.o.o.</t>
  </si>
  <si>
    <t xml:space="preserve"> Nova energetska snaga za DELTA-DRAGUN </t>
  </si>
  <si>
    <t>DI Čazma d.o.o. za proizvodnju namještaja i preradu drveta</t>
  </si>
  <si>
    <t xml:space="preserve"> Energetska obnova proizvodnog pogona - DI ČAZMA </t>
  </si>
  <si>
    <t>DILJ INDUSTRIJA GRAĐEVINSKOG MATERIJALA d.o.o.</t>
  </si>
  <si>
    <t xml:space="preserve"> Povećanje energetske učinkovitosti i korištenja OIE u proizvodnom pogonu 1 DILJ d.o.o. </t>
  </si>
  <si>
    <t>DIV GRUPA d.o.o.</t>
  </si>
  <si>
    <t xml:space="preserve"> Povećanje energetske učinkovitosti u proizvodnom pogonu tvrtke DIV GRUPA d.o.o. </t>
  </si>
  <si>
    <t>Drvna industrija Klana d.d.</t>
  </si>
  <si>
    <t xml:space="preserve"> Optimizacijom proizvodnih procesa do energetskih ušteda-DI Klana d.d. </t>
  </si>
  <si>
    <t>Drvo Samaržija d.o.o.</t>
  </si>
  <si>
    <t xml:space="preserve"> Povećanje konkurentnosti kroz energetske uštede - Drvo Samaržija d.o.o. </t>
  </si>
  <si>
    <t>Drvo-Aluminij d.o.o.</t>
  </si>
  <si>
    <t xml:space="preserve"> Povećanje energetske učinkovitosti i korištenja OIE tvrtke DRVO-ALUMINIJ </t>
  </si>
  <si>
    <t>Elda d.o.o.</t>
  </si>
  <si>
    <t xml:space="preserve"> Energetska učinkovitost u proizvodnji e-tekućina </t>
  </si>
  <si>
    <t>E.G.O. Elektro - komponente d.o.o. (Elektrotehnička tvornica ELEKTRO-KONTAKT d.d.)</t>
  </si>
  <si>
    <t xml:space="preserve"> Povećanje energetske učinkovitosti društva E.G.O. Elektro - komponente d.o.o.</t>
  </si>
  <si>
    <t>ENERGY PLUS d.o.o.</t>
  </si>
  <si>
    <t xml:space="preserve"> Energy Plus - Stvaranje dodane vrijednosti kroz proces energetske obnove proizvodnih kapaciteta </t>
  </si>
  <si>
    <t>Ericsson Nikola Tesla d.d.</t>
  </si>
  <si>
    <t xml:space="preserve"> Povećanje energetske učinkovitosti i korištenje OIE u Ericssonu Nikoli Tesli d.d. </t>
  </si>
  <si>
    <t>EUROTIM d.o.o.</t>
  </si>
  <si>
    <t xml:space="preserve"> Povećanje energetske učinkovitosti i korištenja obnovljivih izvora energije u proizvodnom pogonu Sinj </t>
  </si>
  <si>
    <t>FAGUS DRVOPRERAĐIVAČKI OBRT vl. Antun Kljajić</t>
  </si>
  <si>
    <t xml:space="preserve"> Povećanje energetske učinkovitosti i korištenja OiE gospodarsko-proizvodne zgrade za preradu drva subjekta Fagus drvoprerađivački obrt </t>
  </si>
  <si>
    <t>FEROKOTAO d.o.o.</t>
  </si>
  <si>
    <t xml:space="preserve"> PROJEKT ZAMJENE RASVJETE PROIZVODNOG KOMPLEKSA SA ENERGETSKI UČINKOVITOM LED RASVJETOM </t>
  </si>
  <si>
    <t>FORNIX d.o.o.</t>
  </si>
  <si>
    <t xml:space="preserve"> FORNIX ENERGIJA – ENERGETSKA OBNOVA PROIZVODNO POSLOVNOG OBJEKTA </t>
  </si>
  <si>
    <t>GALEB d.d.</t>
  </si>
  <si>
    <t xml:space="preserve"> Izgradnja fotonaponske elektrane Galeb i zamjena strojeva u proizvodnom pogonu </t>
  </si>
  <si>
    <t>sporazumno raskinut ugovor</t>
  </si>
  <si>
    <t>GENERA d.d.</t>
  </si>
  <si>
    <t xml:space="preserve"> Izgradnja fotonaponske elektrane GENERA za potrebe proizvodnog pogona </t>
  </si>
  <si>
    <t>GORICA STAKLO d.o.o. za poslovne usluge i trgovinu</t>
  </si>
  <si>
    <t xml:space="preserve"> Povećanje EnU i OIE u tvrtki Gorica Staklo d.o.o. </t>
  </si>
  <si>
    <t>GUMIIPEX - GRP d.o.o.</t>
  </si>
  <si>
    <t xml:space="preserve"> Izgradnja fotonaponske elektrane za potrebe proizvodnog pogona Gumiimpex-GRP na vanjskoj nadstrešnici </t>
  </si>
  <si>
    <t>Harburg - Freudenberger Belišće d.o.o.</t>
  </si>
  <si>
    <t xml:space="preserve"> Izgradnja fotonaponske elektrane Harburg-Freudenberger Belišće za potrebe proizvodnog pogona </t>
  </si>
  <si>
    <t>Hemco d.o.o.</t>
  </si>
  <si>
    <t xml:space="preserve"> Ulaganje u obnovljive izvore energije u tvrtki Hemco d.o.o. </t>
  </si>
  <si>
    <t>HEPLAST - PIPE d.o.o.</t>
  </si>
  <si>
    <t xml:space="preserve"> Sunčana elektrana HEPLAST PIPE </t>
  </si>
  <si>
    <t>HIDRAULIKA KURELJA d.o.o.</t>
  </si>
  <si>
    <t xml:space="preserve"> Izgradnja fotonaponske elektrane Hidraulika Kurelja za potrebe proizvodnog pogona </t>
  </si>
  <si>
    <t>ICC concept d.o.o.o</t>
  </si>
  <si>
    <t xml:space="preserve"> Izgradnja fotonaponske elektrane Istarska ciglana za potrebe proizvodnog pogona </t>
  </si>
  <si>
    <t>IVANAL d.o.o.</t>
  </si>
  <si>
    <t xml:space="preserve"> Izgradnja fotonaponske elektrane Ivanal za potrebe proizvodnog pogona </t>
  </si>
  <si>
    <t>JGL d.d.</t>
  </si>
  <si>
    <t xml:space="preserve"> JGL - Energetski učinkovito društvo </t>
  </si>
  <si>
    <t>KOSTWEIN - proizvodnja strojeva d.o.o.</t>
  </si>
  <si>
    <t xml:space="preserve"> Izgradnja fotonaponske elektrane Kostwein - proizvodnja strojeva za potrebe proizvodnog pogona i zamjena rasvjete u proizvodnom pogonu </t>
  </si>
  <si>
    <t>KOTLAR d.o.o.</t>
  </si>
  <si>
    <t xml:space="preserve"> Izgradnja fotonaponske elektrane Kotlar za potrebe proizvodnoga pogona </t>
  </si>
  <si>
    <t>Lokve d.o.o. proizvodnja i trgovina drvnim proizvodima</t>
  </si>
  <si>
    <t xml:space="preserve"> Energetskim uštedama do povećanja konkurentnosti poduzeća Lokve d.o.o. </t>
  </si>
  <si>
    <t>MARLEX d.o.o.</t>
  </si>
  <si>
    <t xml:space="preserve"> Povećanje energetske učinkovitosti i korištenja obnovljivih izvora energije u proizvodnim industrijama </t>
  </si>
  <si>
    <t>MEC d.o.o. za proizvodnju i trgovinu</t>
  </si>
  <si>
    <t xml:space="preserve"> Projekt izmjene rasvjete i izgradnje sunčane elektrane radi povećanja energetske učinkovitosti u proizvodnim industrijama </t>
  </si>
  <si>
    <t>METAL-ELEKTRO d.d.</t>
  </si>
  <si>
    <t xml:space="preserve"> Povećanje energetske učinkovitosti i korištenja OIE tvrtke Metal-elektro </t>
  </si>
  <si>
    <t>MOD-DIZ-OBUĆA d.o.o. za proizvodnju obuće</t>
  </si>
  <si>
    <t xml:space="preserve"> Povećanje energetske učinkovitosti poduzeća MOD-DIZ-OBUĆA  </t>
  </si>
  <si>
    <t>MODUL d.o.o.</t>
  </si>
  <si>
    <t xml:space="preserve"> Izgradnja fotonaponske elektrane Modul za potrebe proizvodnog pogona </t>
  </si>
  <si>
    <t>MONTER - STROJARSKE MONTAŽE d.d.</t>
  </si>
  <si>
    <t xml:space="preserve"> Izgradnja fotonaponske elektrane Monter Strojarske montaže za potrebe proizvodnog pogona </t>
  </si>
  <si>
    <t>MRAMOR DAJČIĆ d.o.o. za proizvodnju, trgovinu i usluge</t>
  </si>
  <si>
    <t xml:space="preserve"> Povećanje energetske učinkovitosti proizvodnog pogona tvrtke Mramor Dajčić d.o.o. instalacijom fotonaponskog</t>
  </si>
  <si>
    <t>MUNDUS VIRIDIS d.o.o. ZA TRGOVINU I USLUGE</t>
  </si>
  <si>
    <t xml:space="preserve"> Energetskom obnovom do rasta i razvoja - Mundus Viridis d.o.o. </t>
  </si>
  <si>
    <t>Naprijed d.o.o.</t>
  </si>
  <si>
    <t xml:space="preserve"> Povećanje energetske učinkovitosti i korištenja obnovljivih izvora energije u proizvodnom pogonu Naprijed d.o.o. Sinj </t>
  </si>
  <si>
    <t xml:space="preserve"> Rekonstrukcija dijela proizvodnog postrojenja Našicecement d.d. zamjenom elektromotornih pogona procesnih ventilatora i rasvjeta postrojenja </t>
  </si>
  <si>
    <t>NET d.o.o.</t>
  </si>
  <si>
    <t xml:space="preserve"> Projekt izmjene rasvjete i izgradnje sunčane elektrane radi povečanja energetske učinkovitosti u proizvodnim industrijama </t>
  </si>
  <si>
    <t>NISKOGRADNJA HREN d.o.o.</t>
  </si>
  <si>
    <t xml:space="preserve"> Izgradnja fotonaponske elektrane Niskogradnja Hren za potrebe proizvodnog pogona </t>
  </si>
  <si>
    <t>OMCO CROATIA d.o.o.</t>
  </si>
  <si>
    <t xml:space="preserve"> Izgradnja fotonaponske elektrane Omco Croatia za potrebe proizvodnog pogona </t>
  </si>
  <si>
    <t>"OMP" OBRADA METALA, TRGOVINA, vl. Vladimir Pleško</t>
  </si>
  <si>
    <t xml:space="preserve"> Izgradnja fotonaponske elektrane OMP obrada metala za potrebe proizvodnoga pogona  </t>
  </si>
  <si>
    <t>PLASTFORM d.o.o.</t>
  </si>
  <si>
    <t xml:space="preserve"> Izgradnja fotonaponske elektrane Plastoform za potrebe proizvodnog pogona </t>
  </si>
  <si>
    <t>PRESOFLEX GRADNJA d.o.o. za trgovinu, proizvodnju i graditeljstvo</t>
  </si>
  <si>
    <t xml:space="preserve"> Energetska obnova proizvodne zgrade Presoflex gradnja d.o.o. u Požegi </t>
  </si>
  <si>
    <t>Jednostrano raskinut ugovor</t>
  </si>
  <si>
    <t>PRO - KLIMA d.o.o.</t>
  </si>
  <si>
    <t xml:space="preserve"> Izgradnja fotonaponske elektrane Proklima za potrebe proizvodnog pogona </t>
  </si>
  <si>
    <t>PROMID d.o.o.</t>
  </si>
  <si>
    <t xml:space="preserve"> Povećanje energetske učinkovitosti i korištenja obnovljivih izvora energije u poduzeću Promid d.o.o. </t>
  </si>
  <si>
    <t>PROMMING d.o.o.</t>
  </si>
  <si>
    <t xml:space="preserve"> PROMMING ENERGIJA - ENERGETSKA OBNOVA POSLOVNO PROIZVODNE ZGRADE </t>
  </si>
  <si>
    <t>PROTON d.o.o.</t>
  </si>
  <si>
    <t xml:space="preserve"> Energetska obnova proizvodne zgrade "PROTON" </t>
  </si>
  <si>
    <t>RASCO tvornica komunalne opreme d.o.o.</t>
  </si>
  <si>
    <t xml:space="preserve"> Povećanje energetske učinkovitosti i korištenje obnovljivih izvora energije u proizvodnom pogonu tvrtke Rasco d.o.o. </t>
  </si>
  <si>
    <t>REINOX d.o.o. za proizvodnju, trgovinu i usluge</t>
  </si>
  <si>
    <t xml:space="preserve"> Povećanje energetske učinkovitosti i korištenja obnovljivih izvora energije u tvrtki Reinox d.o.o. </t>
  </si>
  <si>
    <t>Ring, obrt za proizvodnju odjeće, vl. Josip Zrakić</t>
  </si>
  <si>
    <t xml:space="preserve"> Izgradnja fotonaponske elektrane Ring za potrebe proizvodnog pogona </t>
  </si>
  <si>
    <t>SAPONIA kemijska, prehrambena i farmaceutska industrija d.d.</t>
  </si>
  <si>
    <t xml:space="preserve"> Smanjenje utroška energije u dijelu proizvodnog pogona tvrtke Saponia d.d.  </t>
  </si>
  <si>
    <t>SPIN VALIS d.d.</t>
  </si>
  <si>
    <t xml:space="preserve"> Povećanje energetske učinkovitosti i korištenja obnovljivih izvora energije poduzeća SPIN VALIS d.d. </t>
  </si>
  <si>
    <t>STILOPLAST, obrt za proizvodnju plastične ambalaže i svijeća, vl. Mislav Ćališ</t>
  </si>
  <si>
    <t xml:space="preserve"> Izgradnja fotonaponske elektrane Stiloplast za potrebe proizvodnog pogona </t>
  </si>
  <si>
    <t>STOLARIJA ĆUK, vl. Nedeljko Ćuk</t>
  </si>
  <si>
    <t xml:space="preserve"> Povećanje energetske učinkovitosti i korištenja obnovljivih izvora energije u proizvodnom obrtu "Stolarija Ćuk" </t>
  </si>
  <si>
    <t>STOLARIJA ŠANTEK obrt za proizvodnju i usluge vl. Tomislav Šantek</t>
  </si>
  <si>
    <t xml:space="preserve"> ODRŽIVA I UČINKOVITA STOLARIJA ŠANTEK </t>
  </si>
  <si>
    <t>STROJARSTVO BRANILOVIĆ d.o.o.</t>
  </si>
  <si>
    <t xml:space="preserve"> Povećanje EnU i uvođenje OIE u STROJARSTVU BRANILOVIĆ d.o.o. </t>
  </si>
  <si>
    <t>SVIJET DEKORA d.o.o.</t>
  </si>
  <si>
    <t xml:space="preserve"> Povećanje energetske učinkovitosti i korištenja OIE tvrtke Svijet dekora </t>
  </si>
  <si>
    <t>TEHNOZAVOD - MARUŠIĆ d.o.o.</t>
  </si>
  <si>
    <t xml:space="preserve"> Izgradnja fotonaponske elektrane Tehnozavod Marušić za potrebe proizvodnje pogona i ugradnja dizalice topline za potrebe proizvodnog pogona </t>
  </si>
  <si>
    <t>TERSA d.o.o.</t>
  </si>
  <si>
    <t xml:space="preserve"> Kogeneracija </t>
  </si>
  <si>
    <t>Vargon d.o.o. za preradu plastičnih masa i obradu metala</t>
  </si>
  <si>
    <t xml:space="preserve"> Optimizacija i ušteda energije proizvodnog pogona Vargon </t>
  </si>
  <si>
    <t>VELINAC d.o.o. za proizvodnju i trgovinu</t>
  </si>
  <si>
    <t xml:space="preserve"> Povećanje efektivnosti poslovanja tvrtke Velinac d.o.o. uvođenjem mjere energetske učinkovitosti </t>
  </si>
  <si>
    <t>Vetropack Straža tvornica stakla d.d.</t>
  </si>
  <si>
    <t xml:space="preserve"> Mjere povećanja energetske učinkovitosti i korištenja OIE na elektroenergetskim instalacijama u tvornici stakla Vetropack Straža d.d. </t>
  </si>
  <si>
    <t>VNUK d.o.o.</t>
  </si>
  <si>
    <t xml:space="preserve"> Izgradnja sunčane elektrane za vlastitu potrošnju društva VNUK d.o.o. </t>
  </si>
  <si>
    <t>ZVJEZDICE d.o.o. za proizvodnju i trgovinu</t>
  </si>
  <si>
    <t xml:space="preserve"> Povećanje energetske učinkovitosti i korištenja obnovljivih izvora energije u proizvodnom pogonu Zvjezdica d.o.o. </t>
  </si>
  <si>
    <t>KONČAR električni uređaji d.d</t>
  </si>
  <si>
    <t>Povećanje energetske učinkovitosti i korištenje obnovljivih izbora energije u proizvodnom pogonu "Končar - Električni uređaji d.d.</t>
  </si>
  <si>
    <t>214.553.24</t>
  </si>
  <si>
    <t>KFK d.o.o.</t>
  </si>
  <si>
    <t>„Povećanje energetske učinkovitosti proizvodnog pogona KFK u Rugvici“</t>
  </si>
  <si>
    <t>Model Pakiranja d.d.</t>
  </si>
  <si>
    <t>"Energetska obnova u industrijskom postrojenju"</t>
  </si>
  <si>
    <t>CEMEX Hrvatska d.d.</t>
  </si>
  <si>
    <t>"Povećanje energetske učinkovitosti u tvornici cementa Sv. Juraj"</t>
  </si>
  <si>
    <t>P-MTČ d.o.o.</t>
  </si>
  <si>
    <t>"Povećanje energetske učinkovitosti i korištenja OIE tvrtke P-MTČ"</t>
  </si>
  <si>
    <t>TEHNIX d.o.o.</t>
  </si>
  <si>
    <t>"Sunčana elektrana Tehnix"</t>
  </si>
  <si>
    <t>OPREMA d.d.</t>
  </si>
  <si>
    <t>"Sunčana elektrana SE Oprema"</t>
  </si>
  <si>
    <t>0.54%</t>
  </si>
  <si>
    <t>KRATEKS d.d.</t>
  </si>
  <si>
    <t>"Izgradnja fotonaponske elektrane Krateks za potrebe proizvodnog pogona"</t>
  </si>
  <si>
    <t>NOLIOT d.o.o.</t>
  </si>
  <si>
    <t>"Sunčana elektrana i kompenzacija električnih instalacija Noliot"</t>
  </si>
  <si>
    <t>METEOR GRUPA - LABUD d.o.o..</t>
  </si>
  <si>
    <t>"Povećanje energetske učinkovitosti i korištenja OIE u tvrtki Labud d.o.o."</t>
  </si>
  <si>
    <t>Povrat: 253.036,87 kn</t>
  </si>
  <si>
    <t>PRIMAX d.o.o.</t>
  </si>
  <si>
    <t>"Povećanje energeske učinkovitosti i korištenja OIE tvrtke Primax"</t>
  </si>
  <si>
    <t>Metalska industrija Varaždin d.d.</t>
  </si>
  <si>
    <t>"Uvođenje učinkovitih sustava rasvjete u Metalskoj industriji Varaždin d.d."</t>
  </si>
  <si>
    <t>UKUPNO</t>
  </si>
  <si>
    <t>SC 4b2</t>
  </si>
  <si>
    <t>KK.04.1.2.01.0001</t>
  </si>
  <si>
    <t>TIM KABEL, društvo s ograničenom odgovornošću za trgovinu</t>
  </si>
  <si>
    <t>Energetska obnova veleprodajnog poslovnog prostora Tim Kabel d.o.o. u cilju smanjenja utrošene energije i poboljšanja uvjeta rada te veće produktivnosti</t>
  </si>
  <si>
    <t>KK.04.1.2.01.0002</t>
  </si>
  <si>
    <t>AUTOMOBIL - LONČAR društvo s ograničenom odgovornošću - trgovačko servisno društvo</t>
  </si>
  <si>
    <t>Povećanje energetske učinkovitosti i korištenja OIE u poslovnom objektu tvrtke AUTOMOBIL - LONČAR d.o.o.</t>
  </si>
  <si>
    <t>Projekt završen</t>
  </si>
  <si>
    <t>KK.04.1.2.01.0003</t>
  </si>
  <si>
    <t>AQUA V.M.V. društvo s ograničenom odgovornošću za proizvodnju, trgovinu i razvoj novih proizvoda</t>
  </si>
  <si>
    <t>Povećanje energetske učinkovitosti poduzeća AQUA V.M.V. kroz korištenje obnovljivih izvora energije</t>
  </si>
  <si>
    <t>KK.04.1.2.01.0004</t>
  </si>
  <si>
    <t>MANORA LOŠINJ društvo s ograničenom odgovornošću za trgovinu, ugostiteljstvo i turizam</t>
  </si>
  <si>
    <t>Energetska obnova hotela Manora - Nerezine, otok Lošinj</t>
  </si>
  <si>
    <t>KK.04.1.2.01.0005</t>
  </si>
  <si>
    <t>RADOJKA, TRGOVAČKI OBRT, VL. RADOJKA SMOKOVIĆ, Gračišće, Jakačići 3/B</t>
  </si>
  <si>
    <t>Energetska obnova zgrade marketa "Potpićan"</t>
  </si>
  <si>
    <t>KK.04.1.2.01.0007</t>
  </si>
  <si>
    <t>KATIVA d.o.o. za građenje, trgovinu i turizam</t>
  </si>
  <si>
    <t>Povećanje energetske učinkovitosti Hotela Berkeley Dubrovnik</t>
  </si>
  <si>
    <t>KK.04.1.2.01.0011</t>
  </si>
  <si>
    <t>PUSTARA VIŠNJICA društvo s ograničenom odgovornošću za ugostiteljstvo i turizam</t>
  </si>
  <si>
    <t>Poboljšanje energetske učinkovitosti Pustara Višnjica d.o.o.</t>
  </si>
  <si>
    <t>KK.04.1.2.01.0014</t>
  </si>
  <si>
    <t>ŠTED-INVEST društvo s ograničenom odgovornošću za trgovinu i usluge</t>
  </si>
  <si>
    <t>Energetska obnova paviljona Ad Turres u Dramlju, Crikvenica</t>
  </si>
  <si>
    <t>KK.04.1.2.01.0019</t>
  </si>
  <si>
    <t>GRAĐA dioničko društvo za trgovinu na veliko i malo</t>
  </si>
  <si>
    <t>Izgradnja fotonaponske elektrane Građa Kukuljanovo I za vlastite potrebe</t>
  </si>
  <si>
    <t>KK.04.1.2.01.0021</t>
  </si>
  <si>
    <t>VINKOPROM d.o.o. za unutarnju i vanjsku trgovinu</t>
  </si>
  <si>
    <t>Izgradnja fotonaponske elektrane Vinkoprom Vukovar I za vlastite potrebe</t>
  </si>
  <si>
    <t>KK.04.1.2.01.0026</t>
  </si>
  <si>
    <t>AUTODOM-VIDAKOVIĆ d. o. o. za trgovinu i usluge, uvoz-izvoz, Slav. Brod</t>
  </si>
  <si>
    <t>Povećanje energetske učinkovitosti i korištenja OIE tvrtke AUTODOM-VIDAKOVIĆ d.o.o.</t>
  </si>
  <si>
    <t>KK.04.1.2.01.0028</t>
  </si>
  <si>
    <t>NINA COMMERCE društvo s ograničenom odgovornošću za trgovinu i usluge</t>
  </si>
  <si>
    <t>Izgradnja fotonaponske elektrane Nina Commerce Zagreb 1 za vlastite potrebe</t>
  </si>
  <si>
    <t>KK.04.1.2.01.0029</t>
  </si>
  <si>
    <t>Valamar Riviera dioničko društvo za turizam</t>
  </si>
  <si>
    <t>Provedba mjera povećanja energetske učinkovitosti u hotelskom kompleksu Corinthia Baška</t>
  </si>
  <si>
    <t>KK.04.1.2.01.0031</t>
  </si>
  <si>
    <t>KOŽUL, društvo s ograničenom odgovornošću za trgovinu, proizvodnju i građevinarstvo</t>
  </si>
  <si>
    <t>Povećanje energetske učinkovitosti i korištenja OIE tvrtke Kožul d.o.o.</t>
  </si>
  <si>
    <t>KK.04.1.2.01.0034</t>
  </si>
  <si>
    <t>ODETA društvo s ograničenom odgovornošću za proizvodnju, trgovinu i promet</t>
  </si>
  <si>
    <t>Povećanje energetske učinkovitosti i korištenja obnovljivih izvora energije poduzeća Odeta d.o.o.</t>
  </si>
  <si>
    <t>KK.04.1.2.01.0035</t>
  </si>
  <si>
    <t>VILE-MATILDE društvo s ograničenom odgovornošću za turizam, trgovinu i usluge, putnička agencija</t>
  </si>
  <si>
    <t>Izgradnja fotonaponske elektrane Vile-Matilde za vlastite potrebe</t>
  </si>
  <si>
    <t>KK.04.1.2.01.0041</t>
  </si>
  <si>
    <t>ŠPINA trgovina i građevinarstvo d. o. o.</t>
  </si>
  <si>
    <t>Povećanje energetske učinkovitosti zgrade prodajnog salona Špina - Pula</t>
  </si>
  <si>
    <t>KK.04.1.2.01.0045</t>
  </si>
  <si>
    <t>LJEKARNE PLANTAK</t>
  </si>
  <si>
    <t>Povećanje energetske učinkovitosti i korištenje obnovljivih izvora energije za Ljekarne Plantak</t>
  </si>
  <si>
    <t>KK.04.1.2.01.0049</t>
  </si>
  <si>
    <t>DALMACIJA ISKUSTVO d.o.o. za turizam i usluge - turistička agencija</t>
  </si>
  <si>
    <t>Povećanje energetske učinkovitosti poslovne zgrade sa sobama za iznajmljivanje i ugostiteljskim sadržajem na adresi Frana Laureana 22, Cavtat</t>
  </si>
  <si>
    <t>KK.04.1.2.01.0050</t>
  </si>
  <si>
    <t>PNEUMATIK društvo s ograničenom odgovornošću za trgovinu, zastupanje i usluge</t>
  </si>
  <si>
    <t>Izgradnja fotonaponske elektrane Pneumatik Rakitje 1 za vlastite potrebe</t>
  </si>
  <si>
    <t>KK.04.1.2.01.0051</t>
  </si>
  <si>
    <t>MIKELI TRADE društvo s ograničenom odgovornošću za trgovinu i proizvodnju proizvoda od metala</t>
  </si>
  <si>
    <t>Povećanje energetske učinkovitosti i korištenja OIE tvrtke Mikeli trade d.o.o.</t>
  </si>
  <si>
    <t>KK.04.1.2.01.0052</t>
  </si>
  <si>
    <t>TID-EXTRA Društvo s ograničenom odgovornošću za trgovinu</t>
  </si>
  <si>
    <t>Energetska obnova zgrade gospodarskog subjekta TID - extra d.o.o.</t>
  </si>
  <si>
    <t>KK.04.1.2.01.0055</t>
  </si>
  <si>
    <t>GALIĆ d.o.o. za proizvodnju i usluge</t>
  </si>
  <si>
    <t>Povećanje energetske učinkovitosti hotela Stupnički dvori</t>
  </si>
  <si>
    <t>KK.04.1.2.01.0056</t>
  </si>
  <si>
    <t>INTERMOD društvo s ograničenom odgovornošću za trgovinu, ugostiteljstvo i turizam</t>
  </si>
  <si>
    <t>Izgradnja fotonaponske elektrane Intermod Zadar 1 za vlastite potrebe</t>
  </si>
  <si>
    <t>KK.04.1.2.01.0057</t>
  </si>
  <si>
    <t>PAVONES društvo s ograničenom odgovornošću za turizam i usluge</t>
  </si>
  <si>
    <t>Energetska obnova Hostela Makarska - zgrada A</t>
  </si>
  <si>
    <t>KK.04.1.2.01.0058</t>
  </si>
  <si>
    <t>ZEMONT d.o.o. za građenje, trgovinu i usluge</t>
  </si>
  <si>
    <t>Povećanje energetske učinkovitosti zgrade trgovine Zemont d.o.o.</t>
  </si>
  <si>
    <t>KK.04.1.2.01.0060</t>
  </si>
  <si>
    <t>NISKOGRADNJA HREN društvo s ograničenom odgovornošću za graditeljstvo i usluge</t>
  </si>
  <si>
    <t>Izgradnja fotonaponske elektrane Punkt Beer House Mokrice I za vlastite potrebe</t>
  </si>
  <si>
    <t>KK.04.1.2.01.0066</t>
  </si>
  <si>
    <t>STANIĆ, društvo s ograničenom odgovornošću za unutarnju i vanjsku trgovinu, proizvodnju i distribuciju mesa i suhomesnatih proizvoda</t>
  </si>
  <si>
    <t>Izgradnja fotonaponske elektrane Stanić Kerestinec I za vlastite potrebe,poboljšanje energetske učinkovitosti rasvjete i sustav daljinskog očitanja potrošnje el. energije i sustava kontrolnih mjerila</t>
  </si>
  <si>
    <t>KK.04.1.2.01.0067</t>
  </si>
  <si>
    <t>MEDIKA, dioničko društvo za trgovinu lijekovima i sanitetskim materijalom</t>
  </si>
  <si>
    <t>Izgradnja fotonaponske elektrane Medika Osijek I za vlastite potrebe</t>
  </si>
  <si>
    <t>KK.04.1.2.01.0068</t>
  </si>
  <si>
    <t>MAISTRA dioničko društvo za hotelijerstvo i turizam</t>
  </si>
  <si>
    <t>Zeleni Amarin</t>
  </si>
  <si>
    <t>KK.04.1.2.01.0075</t>
  </si>
  <si>
    <t>ESCULAP-TEO d.o.o. za trgovinu i ugostiteljstvo</t>
  </si>
  <si>
    <t>Energetska obnova restorana Konavoski dvori</t>
  </si>
  <si>
    <t>KK.04.1.2.01.0079</t>
  </si>
  <si>
    <t>TEPIH-CENTAR, društvo s ograničenom odgovornošću za trgovinu i usluge uvoz-izvoz</t>
  </si>
  <si>
    <t>Uvođenje sustava korištenja obnovljivih izvora energije u poduzeće Tepih-centar d.o.o.</t>
  </si>
  <si>
    <t>KK.04.1.2.01.0080</t>
  </si>
  <si>
    <t>VILLA BREZOVICA NOVA društvo s ograničenom odgovornošću za usluge, trgovinu i ugostiteljstvo</t>
  </si>
  <si>
    <t>Povećanje EnU i OIE zgrade VILLA BREZOVICA NOVA</t>
  </si>
  <si>
    <t>KK.04.1.2.01.0081</t>
  </si>
  <si>
    <t>HOTELI BRELA dioničko društvo</t>
  </si>
  <si>
    <t>Povećanje energetske učinkovitosti i korištenja OIE - Bluesun Hoteli Brela</t>
  </si>
  <si>
    <t>KK.04.1.2.01.0082</t>
  </si>
  <si>
    <t>NOMIS društvo s ograničenom odgovornošću za trgovinu i usluge</t>
  </si>
  <si>
    <t>Sunčana elektrana NOMIS d.o.o.</t>
  </si>
  <si>
    <t>KK.04.1.2.01.0083</t>
  </si>
  <si>
    <t>HOREX TRADE d.o.o. za proizvodnju, trgovinu i usluge</t>
  </si>
  <si>
    <t>Izgradnja fotonaponske elektrane Horex Trade Varaždin I za vlastite potrebe i poboljšanje energetske učinkovitosti rasvjete</t>
  </si>
  <si>
    <t>KK.04.1.2.01.0085</t>
  </si>
  <si>
    <t>ADRIA P. A. društvo s ograničenom odgovodrnošću za trgovinu i održavanje vozila te pružanje usluga</t>
  </si>
  <si>
    <t>ENERGETSKA OBNOVA PRODAJNO-SERVISNOG CENTRA ADRIA P.A. U RIJECI</t>
  </si>
  <si>
    <t>KK.04.1.2.01.0087</t>
  </si>
  <si>
    <t>HOTELI TUČEPI, dioničko društvo</t>
  </si>
  <si>
    <t>Povećanje energetske učinkovitosti i korištenja OIE – HOTELI TUČEPI d.d.</t>
  </si>
  <si>
    <t>KK.04.1.2.01.0089</t>
  </si>
  <si>
    <t>AUTO HRVATSKA dioničko društvo</t>
  </si>
  <si>
    <t>Povećanje energetske učinkovitosti i korištenja OIE tvrtke Auto Hrvatska d.d.</t>
  </si>
  <si>
    <t>KK.04.1.2.01.0092</t>
  </si>
  <si>
    <t>AUTO HRVATSKA PRODAJNO SERVISNI CENTRI d.o.o. za usluge i trgovinu</t>
  </si>
  <si>
    <t>Povećanje energetske učinkovitosti i korištenja OIE Auto Hrvatska PSC d.o.o.</t>
  </si>
  <si>
    <t>KK.04.1.2.01.0093</t>
  </si>
  <si>
    <t>INDUSTRIAL PROJECTS industrijski, komercijalni projekti i putnička agencija, d. o. o.</t>
  </si>
  <si>
    <t>Povećanje energetske učinkovitosti turističkog naselja "Bi Village" ulaganjem u obnovljive izvore energije</t>
  </si>
  <si>
    <t>KK.04.1.2.01.0095</t>
  </si>
  <si>
    <t>Obrt za računovodstvo, turizam i poljoprivredu "SUNNY DAY PLUS" vl. Sandi Krošnjak, Rovinj, Augusto Ferri 1.</t>
  </si>
  <si>
    <t>Energetska obnova turističkog objekta "Villa Tre Marie" u Rovinju</t>
  </si>
  <si>
    <t>KK.04.1.2.01.0096</t>
  </si>
  <si>
    <t>G. P. P. MIKIĆ društvo s ograničenom odgovornošću za građenje, proizvodnju, projektiranje, putničke agencije i brodogradnju</t>
  </si>
  <si>
    <t>Povećanje EnU i OIE hotela Malin</t>
  </si>
  <si>
    <t>KK.04.1.2.01.0098</t>
  </si>
  <si>
    <t>dm-drogerie markt d.o.o. za veletrgovinu i trgovinu na malo drogerijskom i parfimerijskom robom</t>
  </si>
  <si>
    <t>Povećanjem energetske učinkovitosti i korištenja obnovljivih izvora energije do rasta konkurentnosti društva dm-drogerie markt d.o.o.</t>
  </si>
  <si>
    <t>KK.04.1.2.01.0099</t>
  </si>
  <si>
    <t>JEZUITE d.o.o.za turizam i ugostiteljstvo</t>
  </si>
  <si>
    <t>POVEČANJE ENERGETSKE UČINKOVITOSTI ZA JEZUITE D.O.O.</t>
  </si>
  <si>
    <t>KK.04.1.2.01.0102</t>
  </si>
  <si>
    <t>ZELENA LUKA d.o.o. za ugostiteljstvo i turizam</t>
  </si>
  <si>
    <t>Ugradnja fotonaponske elektrane u Kamp Dalmacija - Tisno</t>
  </si>
  <si>
    <t>KK.04.1.2.01.0104</t>
  </si>
  <si>
    <t>DIDIN KONAK društvo s ograničenom odgovornošću za turizam, ugostiteljstvo i trgovinu</t>
  </si>
  <si>
    <t>Energetska učinkovitost u objektu "Didin konak", Kopačevo</t>
  </si>
  <si>
    <t>KK.04.1.2.01.0106</t>
  </si>
  <si>
    <t>MARKPEK društvo s ograničenom odgovornošću za usluge, proizvodnju i trgovinu</t>
  </si>
  <si>
    <t>Povećanje energetske učinkovitosti u tvrtki MARKPEK d.o.o.</t>
  </si>
  <si>
    <t>KK.04.1.2.01.0108</t>
  </si>
  <si>
    <t>STRIDON-PROMET, društvo s ograničenom odgovornošću za uvoz-izvoz, trgovina na veliko i malo</t>
  </si>
  <si>
    <t>Izgradnja fotonaponske elektrane Stridon-promet Sesvete I za vlastite potrebe</t>
  </si>
  <si>
    <t>KK.04.1.2.01.0109</t>
  </si>
  <si>
    <t>JADRANKA HOTELI ugostiteljstvo i turistička agencija d. o. o.</t>
  </si>
  <si>
    <t>Povećanje energetske učinkovitosti i korištenja obnovljivih izvora energije tvrtke Jadranka hoteli d.o.o.</t>
  </si>
  <si>
    <t>KK.04.1.2.01.0113</t>
  </si>
  <si>
    <t>PIRAMIDA BOŽIĆ d.o.o. za građenje i usluge</t>
  </si>
  <si>
    <t>Poboljšanje energetskih svojstava zgrade za obavljanje djelatnosti u turizmu na adresi Put Topića 3, Baška Voda</t>
  </si>
  <si>
    <t>KK.04.1.2.01.0117</t>
  </si>
  <si>
    <t>STANIĆ d.o.o. za promet roba, usluga i posredništvo</t>
  </si>
  <si>
    <t>Stanić - Snaga nove energije</t>
  </si>
  <si>
    <t>KK.04.1.2.01.0119</t>
  </si>
  <si>
    <t>ZETOVIĆ d.o.o. za proizvodnju, građevinarstvo i trgovinu</t>
  </si>
  <si>
    <t>Povećanje energetske učinkovitosti i korištenja obnovljivih izvora energije na prodajnom i skladišnom prostoru tvrtke Zetović d.o.o.</t>
  </si>
  <si>
    <t>KK.04.1.2.01.0120</t>
  </si>
  <si>
    <t>LONIA trgovačko dioničko društvo</t>
  </si>
  <si>
    <t>Projekt za povećanje EnU i korištenje OIE zgrade društva Lonia d.d.</t>
  </si>
  <si>
    <t>KK.04.1.2.01.0121</t>
  </si>
  <si>
    <t>LAKMUS d. o. o. za promet roba i usluga</t>
  </si>
  <si>
    <t>Energetska obnova trgovine Lakmus</t>
  </si>
  <si>
    <t>KK.04.1.2.01.0122</t>
  </si>
  <si>
    <t>HOTEL SOLITUDO - LASTOVO d.o.o. za ugostiteljstvo, trgovinu i usluge</t>
  </si>
  <si>
    <t>Energetska obnova Hotela Alfir u Prižbi</t>
  </si>
  <si>
    <t>KK.04.1.2.01.0123</t>
  </si>
  <si>
    <t>DANAK društvo s ograničenom odgovornošću za trgovinu i usluge</t>
  </si>
  <si>
    <t>Izgradnja solarne elektrane na objektu Hotela Narenta Metković</t>
  </si>
  <si>
    <t>KK.04.1.2.01.0125</t>
  </si>
  <si>
    <t>VISIO PULS d.o.o. za promidžbu i istraživanje tržišta</t>
  </si>
  <si>
    <t>Povećanje EnU i korištenje OIE hotela "Diplomat"</t>
  </si>
  <si>
    <t>KK.04.1.2.01.0127</t>
  </si>
  <si>
    <t>SEDMO NEBO, obrt za ugostiteljstvo, Slaven Radovčić, Kaprije, Otok Kakanj 7</t>
  </si>
  <si>
    <t>Izgradnja fotonaponske elektrane Sedmo nebo za vlastite potrebe</t>
  </si>
  <si>
    <t>KK.04.1.2.01.0128</t>
  </si>
  <si>
    <t>COLONIA društvo s ograničenom odgovornošću za ugostiteljstvo</t>
  </si>
  <si>
    <t>"FEŠTA ZA KORNATE: Povećanje energetske učinkovitosti i korištenja OIE u turističkom kompleksu Fešta na otoku Žutu"</t>
  </si>
  <si>
    <t>KK.04.1.2.01.0129</t>
  </si>
  <si>
    <t>STRAHINJČICA d.o.o. za trgovinu</t>
  </si>
  <si>
    <t>Povećanje EnU i OIE u Strahinjčica d.o.o.</t>
  </si>
  <si>
    <t>KK.04.1.2.01.0130</t>
  </si>
  <si>
    <t>TIFLOTEHNA d.o.o. za proizvodnju, trgovinu i usluge</t>
  </si>
  <si>
    <t>Povećanje energetske učinkovitosti i pristupačnosti za osobe s invaliditetom uporabive građevine - poslovna zgrada "ERKS"</t>
  </si>
  <si>
    <t>KK.04.1.2.01.0018</t>
  </si>
  <si>
    <t>DOBAR PARTNER d.o.o. za trgovinu, proizvodnju, usluge i turizam</t>
  </si>
  <si>
    <t>Ugradnja fotonaponske elektrane u tvrtki Dobar partner d.o.o.</t>
  </si>
  <si>
    <t>KK.04.1.2.01.0033</t>
  </si>
  <si>
    <t>ENCIAN d.o.o. za unutarnju i vanjsku trgovinu,</t>
  </si>
  <si>
    <t>Povećanje energetske učinkovitosti i korištenja OIE tvrtke Encian d.o.o</t>
  </si>
  <si>
    <t>KK.04.1.2.01.0036</t>
  </si>
  <si>
    <t>VISUS ZADAR d.o.o. za ugostiteljstvo, poslovne usluge i djelatnost turističke agencije</t>
  </si>
  <si>
    <t>Povećanje energetske učinkovitosti i korištenja OIE u hotelu Delfin</t>
  </si>
  <si>
    <t>KK.04.1.2.01.0038</t>
  </si>
  <si>
    <t>PARIĆ d.o.o. za promet kožom</t>
  </si>
  <si>
    <t>Povećanje energetske učinkovitosti i korištenja OIE tvrtke Parić d.o.o.</t>
  </si>
  <si>
    <t>KK.04.1.2.01.0039</t>
  </si>
  <si>
    <t>ŠMIT ELECTRONIC d.o.o. za proizvodnju, trgovinu i usluge</t>
  </si>
  <si>
    <t>Ugradnja fotonaponske elektrane u tvrtki ŠMIT ELECTRONIC d.o.o.</t>
  </si>
  <si>
    <t>KK.04.1.2.01.0040</t>
  </si>
  <si>
    <t>PSC FERENČAK trgovina i usluge d.o.o.</t>
  </si>
  <si>
    <t>Povećanje energetske učinkovitosti i korištenja OIE tvrtke PSC Ferenčak d.o.o.</t>
  </si>
  <si>
    <t>KK.04.1.2.01.0048</t>
  </si>
  <si>
    <t>MIGLES d.o.o. za trgovinu i ugostiteljstvo</t>
  </si>
  <si>
    <t>Povećanje energetske učinkovitosti i korištenja OIE tvrtke Migles d.o.o.</t>
  </si>
  <si>
    <t>KK.04.1.2.01.0053</t>
  </si>
  <si>
    <t>GRAFIK. NET d.o.o. za trgovinu i usluge</t>
  </si>
  <si>
    <t>Povećanje energetske učinkovitosti i korištenja OIE tvrtke Grafik.net d.o.o.</t>
  </si>
  <si>
    <t>KK.04.1.2.01.0054</t>
  </si>
  <si>
    <t>ZAGREBPROKROM d.o.o. za proizvodnju i remont industrijskih postrojenja, unutarnju i vanjsku trgovinu</t>
  </si>
  <si>
    <t>Povećanje energetske učinkovitosti i korištenja OIE tvrtke Zagrebprokrom d.o.o.</t>
  </si>
  <si>
    <t>KK.04.1.2.01.0077</t>
  </si>
  <si>
    <t>DANON d.o.o. za trgovinu na veliko i malo, uvoz i izvoz, zastupanje stranih tvrtki i turizam</t>
  </si>
  <si>
    <t>Povećanje energetske učinkovitosti i korištenja OIE tvrtke Danon d.o.o.</t>
  </si>
  <si>
    <t>KK.04.1.2.01.0044</t>
  </si>
  <si>
    <t>HOTEL MEDENA d.d. za hotelijerstvo i turizam, turistička agencija</t>
  </si>
  <si>
    <t>Hotel Medena - Nova energija</t>
  </si>
  <si>
    <t>KK.04.1.2.01.0135</t>
  </si>
  <si>
    <t>KRALJEVIĆ HOTELI društvo s ograničenom odgovornošću, ugostiteljstvo, turizam i putnička agencija</t>
  </si>
  <si>
    <t>Povećanje EnU i korištenje OIE zgrada Hotela Risnjak</t>
  </si>
  <si>
    <t>KK.04.1.2.01.0072</t>
  </si>
  <si>
    <t>HOTEL JOSIPDOL d.o.o. za usluge i trgovinu</t>
  </si>
  <si>
    <t>ENERGETSKA OBNOVA HOTELA JOSIPDOL</t>
  </si>
  <si>
    <t>KK.04.1.2.01.0132</t>
  </si>
  <si>
    <t>PAMBI-TABAK d.o.o. za ugostiteljstvo, turizam i trgovinu</t>
  </si>
  <si>
    <t>"Povećanje energetske učinkovitosti i korištenja obnovljivih izvora energije Hotela Alkar"</t>
  </si>
  <si>
    <t>KK.04.1.2.01.0042</t>
  </si>
  <si>
    <t>SETOVIA VOĆE d.o.o. za trgovinu i usluge</t>
  </si>
  <si>
    <t>"Energetska obnova veleprodajnog centra voća i povrća Opuzen"</t>
  </si>
  <si>
    <t xml:space="preserve">OPKK - KLIMA (Specifični cilj 5a1)  </t>
  </si>
  <si>
    <t>MIS KOD</t>
  </si>
  <si>
    <t>Razdoblje provedbe</t>
  </si>
  <si>
    <t>Vrijednost projekta (HRK)</t>
  </si>
  <si>
    <t>% od ukupne alokacije 5a1</t>
  </si>
  <si>
    <t>Projekt modernizacije meterološke motriteljske mreže u RH - METMONIC</t>
  </si>
  <si>
    <t>KK.05.1.1.01.0001</t>
  </si>
  <si>
    <t>DHMZ</t>
  </si>
  <si>
    <t xml:space="preserve">Projekt modernizacije meterološke motriteljske mreže u RH - METMONIC </t>
  </si>
  <si>
    <t xml:space="preserve">01.10.2017. - 30.9.2021. </t>
  </si>
  <si>
    <t xml:space="preserve">Ukupno: </t>
  </si>
  <si>
    <t>Shema za jačanje primijenjenih istraživanja za mjere prilagodbe klimatskim promjenama</t>
  </si>
  <si>
    <t>KK.05.1.1.02.0001</t>
  </si>
  <si>
    <t>Institut Ruđer Bošković</t>
  </si>
  <si>
    <t>Potencijal rizosfernog mikrobioma u prilagodbi poljoprivrede klimatskim promjenama</t>
  </si>
  <si>
    <t>04.05.2020. - 04.05.2023.</t>
  </si>
  <si>
    <t>KK.05.1.1.02.0002</t>
  </si>
  <si>
    <t>Sveučilište u Zagrebu, Fakultet elektrotehnike i računarstva</t>
  </si>
  <si>
    <t>Rješenja prilagodbe elektroenergetskog sustava klimatskim promjenama temeljena na velikim količinama podataka (RESdata)</t>
  </si>
  <si>
    <t>01.01.2020. - 01.06.2023.</t>
  </si>
  <si>
    <t>KK.05.1.1.02.0003</t>
  </si>
  <si>
    <t>Hrvatski zavod za javno zdravstvo</t>
  </si>
  <si>
    <t>Ublažavanje negativnih utjecaja klimatskih promjena na obradu voda površinskih akumulacija pri dobivanju vode za ljudsku potrošnju flokulacijom i ozoniranjem</t>
  </si>
  <si>
    <t>01.02.2020. - 01.05.2023.</t>
  </si>
  <si>
    <t>KK.05.1.1.02.0004</t>
  </si>
  <si>
    <t>Veleučilište u Slavonskom Brodu</t>
  </si>
  <si>
    <t>Prilagodba povrtnih kultura novim agrometeorološkim uvjetima u Slavoniji</t>
  </si>
  <si>
    <t>06.01.2020. - 06.01.2022.</t>
  </si>
  <si>
    <t>KK.05.1.1.02.0005</t>
  </si>
  <si>
    <t>Institut za poljoprivredu i turizam</t>
  </si>
  <si>
    <t>Agrobioraznolikost - osnova za prilagodbu i ublažavanje posljedica klimatskih
promjena u poljoprivredi</t>
  </si>
  <si>
    <t>20.12.2019. - 20.12.2022.</t>
  </si>
  <si>
    <t>KK.05.1.1.02.0006</t>
  </si>
  <si>
    <t>Sveučilište u Zagrebu, Prirodoslovno-matematički fakultet</t>
  </si>
  <si>
    <t>Klimatska ranjivost Hrvatske i mogućnosti prilagodbe urbanih i prirodnih okoliša
(Klima-4HR)</t>
  </si>
  <si>
    <t>01.06.2020. - 01.12.2022.</t>
  </si>
  <si>
    <t>KK.05.1.1.02.0008</t>
  </si>
  <si>
    <t>Sveučilište Josipa Jurja Strossmayera u Osijeku</t>
  </si>
  <si>
    <t>Prilagodba mjera kontrole populacije komaraca klimatskim promjenama u Hrvatskoj</t>
  </si>
  <si>
    <t>01.06.2020. - 01.06.2023.</t>
  </si>
  <si>
    <t>KK.05.1.1.02.0009</t>
  </si>
  <si>
    <t>Sveučilište u Zagrebu Šumarski fakultet</t>
  </si>
  <si>
    <t>Mjere prilagodbe klimatskim promjenamaza održivo upravljanje prirodnim resursima
''MEMORIE''</t>
  </si>
  <si>
    <t>20.01.2020. - 20.01.2023.</t>
  </si>
  <si>
    <t>KK.05.1.1.02.0010</t>
  </si>
  <si>
    <t>Institut za jadranske kulture i melioraciju</t>
  </si>
  <si>
    <t>Procjena tolerantnosti hrvatske germplazme vinove loze na sušu</t>
  </si>
  <si>
    <t>01.03.2020. - 01.03.2023.</t>
  </si>
  <si>
    <t>KK.05.1.1.02.0011</t>
  </si>
  <si>
    <t>Sveučilište u Zagrebu, Agronomski fakultet</t>
  </si>
  <si>
    <t>Napredni sustav motrenja agroekosustava u riziku od zaslanjivanja i onečišćenja</t>
  </si>
  <si>
    <t>01.01.2020. - 01.01. 2023.</t>
  </si>
  <si>
    <t>KK.05.1.1.02.0012</t>
  </si>
  <si>
    <t>Sveučilište u Zagrebu, Prehrambeno - biotehnološki fakultet</t>
  </si>
  <si>
    <t>Integrirani sustav uzgoja alternativnih vrsta školjkaša u uvjetima klimatskih promjena</t>
  </si>
  <si>
    <t>KK.05.1.1.02.0013</t>
  </si>
  <si>
    <t>Sveučilište u Dubrovniku</t>
  </si>
  <si>
    <t>Razvoj sustava kontrole i obrane luka od unosa stranih vrsta</t>
  </si>
  <si>
    <t>01.06.2020 - 01.06.2023.</t>
  </si>
  <si>
    <t>KK.05.1.1.02.0014</t>
  </si>
  <si>
    <t>Sveučilište u Zagrebu, Fakultet strojarstva i brodogradnje</t>
  </si>
  <si>
    <t>Osiguranje električne energije u slučaju klimatskih ekstrema i prirodnih katastrofa</t>
  </si>
  <si>
    <t>17.02.2020. - 17.05.2023.</t>
  </si>
  <si>
    <t>KK.05.1.1.02.0016</t>
  </si>
  <si>
    <t>Sveučilište u Zadru</t>
  </si>
  <si>
    <t>Proizvodnja hrane, biokompozita i biogoriva iz žitarica u kružnom biogospodarstvu</t>
  </si>
  <si>
    <t>01.09.2019. - 01.06.2023.</t>
  </si>
  <si>
    <t>KK.05.1.1.02.0017</t>
  </si>
  <si>
    <t>Sveučilište u Rijeci, Tehnički fakultet</t>
  </si>
  <si>
    <t>Računalni model strujanja, poplavljivanja i širenja onečišćenja u rijekama i obalnim morskim područjima</t>
  </si>
  <si>
    <t>18.03.2020. - 18.03.2023.</t>
  </si>
  <si>
    <t>KK.05.1.1.02.0018</t>
  </si>
  <si>
    <t>Hrvatska agencija za poljoprivredu i hranu</t>
  </si>
  <si>
    <t>AGROEKOTEH - Optimizacija gospodarenja tlom i prilagodba agroekosustava i agrotehničkih mjera klimatskim promjenama</t>
  </si>
  <si>
    <t>01.02.2020. - 01.06.2023.</t>
  </si>
  <si>
    <t>KK.05.1.1.02.0020</t>
  </si>
  <si>
    <t>Sveučilište u Zagrebu, Rudarsko-geološko-naftni fakultet</t>
  </si>
  <si>
    <t xml:space="preserve">Primijenjena istraživanja klizišta za razvoj mjera ublažavanja i prevencije rizika PRI-MJER </t>
  </si>
  <si>
    <t>01.05.2020.-01.05.2023.</t>
  </si>
  <si>
    <t>KK.05.1.1.02.0021</t>
  </si>
  <si>
    <t>Udruga Eko Brezna</t>
  </si>
  <si>
    <t>Dobra klima za turizam</t>
  </si>
  <si>
    <t>02.03.2020.-02.03.2023.</t>
  </si>
  <si>
    <t>KK.05.1.1.02.0022</t>
  </si>
  <si>
    <t>Sveučilište u Zagrebu, Geotehnički fakultet</t>
  </si>
  <si>
    <t>Upravljanje krškim priobalnim vodonosnicima ugroženima klimatskim promjenama (UKV)</t>
  </si>
  <si>
    <t>01.05.2020.-01.11.2022.</t>
  </si>
  <si>
    <t>KK.05.1.1.02.0023</t>
  </si>
  <si>
    <t>Nastavni zavod za javno zdravstvo dr. Andrija Štampar</t>
  </si>
  <si>
    <t>Istraživanje utjecaja klimatskih promjena na razvoj plijesni, mikotoksina i kvalitetu žitarica s prijedlogom mjera</t>
  </si>
  <si>
    <t>15.04.2020. - 15.04.2022.</t>
  </si>
  <si>
    <t>KK.05.1.1.02.0024</t>
  </si>
  <si>
    <t>Sveučilište u Splitu, Fakultet građevinarstva, arhitekture i geodezije</t>
  </si>
  <si>
    <t>VODIME - Vode Imotske krajine</t>
  </si>
  <si>
    <t>KK.05.1.1.02.0029</t>
  </si>
  <si>
    <t>Sveučilište i Osijeku J.J.S. - Fakultet agrobiotehničkih znanosti Osijek</t>
  </si>
  <si>
    <t>APPLERESIST - Genetska otpornost jabuke na toplinski i sušni stres uz formiranje preporučenog sortimenta za proizvodna područja kontinentalne Hrvatske</t>
  </si>
  <si>
    <t>01.04.2020.-1.04.2023.</t>
  </si>
  <si>
    <t>KK.05.1.1.02.0030</t>
  </si>
  <si>
    <t>Istarsko veleučilište - Universita Istriana di scienze applicate</t>
  </si>
  <si>
    <t>WildBioAdapt - Divlje biljne vrste u funkciji prilagodbe poljoprivrede i turizma klimatskim promjenama</t>
  </si>
  <si>
    <t>KK.05.1.1.02.0031</t>
  </si>
  <si>
    <t>Inovacijski centar Nikola Tesla</t>
  </si>
  <si>
    <t>Napredna i prediktivna poljoprivreda za otpornost klimatskim promjenama</t>
  </si>
  <si>
    <t>KK.05.1.1.02.0032</t>
  </si>
  <si>
    <t>Sveučilište Josipa Jurja Strossmayera u Osijeku - Ekonomski fakultet u Osijeku</t>
  </si>
  <si>
    <t>CroViZone - Prilagodba vinogradarskih zona RH klimatskikm promjenama</t>
  </si>
  <si>
    <t>Ukupno 5a1</t>
  </si>
  <si>
    <t xml:space="preserve">OPKK - ZRAK (Specifični ciljevi 6e1)   </t>
  </si>
  <si>
    <t>% od ukupne alokacije 6e1</t>
  </si>
  <si>
    <t>KK.06.2.1.01.0001</t>
  </si>
  <si>
    <t>FSB</t>
  </si>
  <si>
    <t>Nacionalni referentni laboratorij za emisije iz motora s unutarnjim izgaranjem za necestovne pokretne strojeve</t>
  </si>
  <si>
    <t xml:space="preserve">29.12.2015. - 30.09.2021. </t>
  </si>
  <si>
    <t>KK.06.2.1.02.0001</t>
  </si>
  <si>
    <t>Proširenje i modernizacija državne mreže za trajno praćenje kvalitete zraka - AIRQ</t>
  </si>
  <si>
    <t xml:space="preserve">01.05.2017. - 30.4.2022. </t>
  </si>
  <si>
    <t>UKUPNO 6e1</t>
  </si>
  <si>
    <t xml:space="preserve">OPKK - PRIRODA (Investicijski prioritet 6iii) </t>
  </si>
  <si>
    <t>% od ukupne alokacije 6iii</t>
  </si>
  <si>
    <t>6iii1 - alokacija bespovratna sredstva 159.600.000,00</t>
  </si>
  <si>
    <t>KK.06.5.1.01.0001</t>
  </si>
  <si>
    <t>Uspostava nacionalnog sustava za praćenje invazivnih stranih vrsta</t>
  </si>
  <si>
    <t xml:space="preserve">01.01.2017. - 31.12.2020. </t>
  </si>
  <si>
    <t>KK.06.5.1.02.0001</t>
  </si>
  <si>
    <t>Kartiranje obalnih i pridnenih morskih staništa na području Jadranskog mora pod nacionalnom jurisdikcijom</t>
  </si>
  <si>
    <t xml:space="preserve">01.07.2017. - 31.12.2022. </t>
  </si>
  <si>
    <t>KK.06.5.1.03.0001</t>
  </si>
  <si>
    <t>Razvoj sustava praćenja stanja očuvanosti vrsta i stanišnih tipova</t>
  </si>
  <si>
    <t xml:space="preserve">01.07.2017. - 30.6.2023. </t>
  </si>
  <si>
    <t>UKUPNO 6iii1</t>
  </si>
  <si>
    <t>6iii2 - alokacija bespovratna sredstva 410.400.000,00</t>
  </si>
  <si>
    <t>KK.06.5.2.01.0001</t>
  </si>
  <si>
    <t>Izrada prijedloga planova upravljanja strogo zaštićenim vrstama (s akcijskim planovima)</t>
  </si>
  <si>
    <t xml:space="preserve">01.06.2016. - 31.12.2019. </t>
  </si>
  <si>
    <t>*Provedba projekta - ZAVRŠILA</t>
  </si>
  <si>
    <t>KK.06.5.2.02.0001</t>
  </si>
  <si>
    <t>Razvijanje sustava upravljanja i kontrole invazivnih stranih vrsta</t>
  </si>
  <si>
    <t xml:space="preserve">01.10.2017. - 31.10.2021. </t>
  </si>
  <si>
    <t>KK.06.5.2.03.0001</t>
  </si>
  <si>
    <t>Razvoj okvira za upravljanja ekološkom mrežom Natura 2000</t>
  </si>
  <si>
    <t>01.06.2017. - 31.12.2022.</t>
  </si>
  <si>
    <t>KK.06.5.2.06.0001</t>
  </si>
  <si>
    <t>DGU</t>
  </si>
  <si>
    <t>Evidentiranje posebnog pravnog režima kao doprinos učinkovitijem upravljanju zaštićenim područjima</t>
  </si>
  <si>
    <t>01.02.2019. - 30.06.2023</t>
  </si>
  <si>
    <t>KK.06.5.2.04.0001</t>
  </si>
  <si>
    <t>ZOO - Grad Zagreb</t>
  </si>
  <si>
    <t>Oporavilište za divlje životinje - Modernizacija Zološkog vrta Grada Zagreba III. Faza</t>
  </si>
  <si>
    <t>01.07.2020. - 30.6.2023.</t>
  </si>
  <si>
    <t>KK.06.5.2.04.0002</t>
  </si>
  <si>
    <t>UNIKOM d.o.o.</t>
  </si>
  <si>
    <t>Unaprjeđenje postojećih i uspostava novih kapaciteta za smještaj i brigu o jedinkama životinja koje se zbrinjavaju u oporavilištu Unikom d.o.o. - Radna jedinica zoološki vrt</t>
  </si>
  <si>
    <t>15.10.2020. - 30.6.2023.</t>
  </si>
  <si>
    <t>KK.06.5.2.04.0003</t>
  </si>
  <si>
    <t xml:space="preserve">JAVNA USTANOVA PRIRODA </t>
  </si>
  <si>
    <t xml:space="preserve">Unapređenje i povećanje kapaciteta Oporavilišta za bjeloglave supove u Centru za posjetitelje Beli </t>
  </si>
  <si>
    <t>1.1.2021. - 30.6.2023.</t>
  </si>
  <si>
    <t>KK.06.5.2.04.0005</t>
  </si>
  <si>
    <t>AQUARIUM PULA d.o.o. za djelatnost akvarija i trgovinu</t>
  </si>
  <si>
    <t>Unaprjeđenje oporavilišta za divlje životinje u Aquariumu Pula</t>
  </si>
  <si>
    <t>1.9.2016. - 30.6.2023.</t>
  </si>
  <si>
    <t>KK.06.5.2.04.0007</t>
  </si>
  <si>
    <t>Sveučilište u Zagrebu, Veterinarski fakultet</t>
  </si>
  <si>
    <t>Unaprjeđenje oporavilišta za divlje životinje na Veterinarskom fakultetu - WildRescuVEF</t>
  </si>
  <si>
    <t>UKUPNO 6iii2</t>
  </si>
  <si>
    <t>6iii3 - alokacija bespovratna sredstva 380.000.000,00</t>
  </si>
  <si>
    <t>KK.06.5.3.01.0001</t>
  </si>
  <si>
    <t>Hrvatske šume</t>
  </si>
  <si>
    <t>Razminiranje, obnova i zaštita šuma i šumskog zemljišta u zaštićenim i Natura 2000 područjima u dunavsko-dravskoj regiji - NATURAVITA</t>
  </si>
  <si>
    <t xml:space="preserve">23.6.2015. - 23.09.2023. </t>
  </si>
  <si>
    <t>KK.06.5.3.02.0001</t>
  </si>
  <si>
    <t>Razminiranje i očuvanje šumskih ekosustava u zaštićenim i Natura 2000 područjima u Ličko-senjskoj i Zadarskoj županiji - Fearless Velebit</t>
  </si>
  <si>
    <t>01.08.2018. - 30.06.2023.</t>
  </si>
  <si>
    <t>UKUPNO 6iii3</t>
  </si>
  <si>
    <t>UKUPNO 6iii</t>
  </si>
  <si>
    <t>NEXE d.d. (NAŠICECEMENT Tvornica cementa d.d.)</t>
  </si>
  <si>
    <t>Povrat: 209.950,00 kn</t>
  </si>
  <si>
    <t>Ukupna alokacija za SC 6i1 (1€=7,6 kn)</t>
  </si>
  <si>
    <t>provedeno završno plaćanje</t>
  </si>
  <si>
    <t>Br.ug. proj.</t>
  </si>
  <si>
    <t>Ugovoreno
(HRK)</t>
  </si>
  <si>
    <t>Ugovoreno
(€)</t>
  </si>
  <si>
    <t>Plaćeno
(HRK)</t>
  </si>
  <si>
    <t>Plaćeno
(€)</t>
  </si>
  <si>
    <t>% od ugovoren.</t>
  </si>
  <si>
    <t>Ugovoreno EU
(HRK)</t>
  </si>
  <si>
    <t>Plaćeno EU
(HRK)</t>
  </si>
  <si>
    <t>Plaćeno EU %</t>
  </si>
  <si>
    <t>Ukupno plaćeno
(HRK)</t>
  </si>
  <si>
    <t>Up. dozv.</t>
  </si>
  <si>
    <t>I.  ODOBRENI PROJEKTI / POTPISAN UGOVOR O DODJELI BESPOVRATNIH SREDSTAVA</t>
  </si>
  <si>
    <t>UGOVORENI PROJEKTI RECIKLAŽNIH DVORIŠTA / POTPISAN GRANT</t>
  </si>
  <si>
    <t xml:space="preserve">UGOVORENI PROJEKTI IZOBRAZNO-INFORMATIVNE AKTIVNOSTI </t>
  </si>
  <si>
    <t>CGO Biljane Donje</t>
  </si>
  <si>
    <t>RD Sv. Ivan Zelina</t>
  </si>
  <si>
    <t>ü</t>
  </si>
  <si>
    <t>Grad Obrovac</t>
  </si>
  <si>
    <t>CGO Bikarac  - II faza</t>
  </si>
  <si>
    <t>RD Senj</t>
  </si>
  <si>
    <t>Grad Ivanec</t>
  </si>
  <si>
    <t>RD - 1. poziv*</t>
  </si>
  <si>
    <t>RD Jasenovac</t>
  </si>
  <si>
    <t>Općina Donja Voća</t>
  </si>
  <si>
    <t>Sanacije - 1. poziv</t>
  </si>
  <si>
    <t>RD Petrinja</t>
  </si>
  <si>
    <t>Općina Konjščina</t>
  </si>
  <si>
    <t>Dodatna oprema Marišćina</t>
  </si>
  <si>
    <t>RD Ludbreg</t>
  </si>
  <si>
    <t>Općina Gornja Rijeka</t>
  </si>
  <si>
    <t>Sovjak</t>
  </si>
  <si>
    <t>RD Popovača</t>
  </si>
  <si>
    <t>Grad Požega</t>
  </si>
  <si>
    <t>Informativno-izobrazne aktivnosti**</t>
  </si>
  <si>
    <t>RD Slivno</t>
  </si>
  <si>
    <t>Grad Novi Marof</t>
  </si>
  <si>
    <t>Izrada dokumentacije za 3 CGO-a</t>
  </si>
  <si>
    <t>RD Dugo Selo</t>
  </si>
  <si>
    <t>Općina Sveti Ilija</t>
  </si>
  <si>
    <t>Nabava spremnika</t>
  </si>
  <si>
    <t>RD Hum na Sutli</t>
  </si>
  <si>
    <t>Grad Senj</t>
  </si>
  <si>
    <t>CGO Lećevica</t>
  </si>
  <si>
    <t>RD Poreč</t>
  </si>
  <si>
    <t>Grad Pazin</t>
  </si>
  <si>
    <t>CGO Babina gora</t>
  </si>
  <si>
    <t>RD Darda</t>
  </si>
  <si>
    <t>Grad Lepoglava</t>
  </si>
  <si>
    <t>Sortirnice</t>
  </si>
  <si>
    <t>RD Brinje</t>
  </si>
  <si>
    <t>Grad Otočac</t>
  </si>
  <si>
    <t>Sanacije - 2. poziv</t>
  </si>
  <si>
    <t>RD Erdut</t>
  </si>
  <si>
    <t>Grad Metković</t>
  </si>
  <si>
    <t>CGO Lučino Razdolje</t>
  </si>
  <si>
    <t>RD Velika Ludina</t>
  </si>
  <si>
    <t>Općina Trnava</t>
  </si>
  <si>
    <t>Biootpad</t>
  </si>
  <si>
    <t>RD Kneževi Vinogradi</t>
  </si>
  <si>
    <t>Općina Satnica Đakovačka</t>
  </si>
  <si>
    <t>RD - 2. poziv</t>
  </si>
  <si>
    <t>RD Borovo</t>
  </si>
  <si>
    <t>Grad Krk</t>
  </si>
  <si>
    <t>Građ/glom. Otpad</t>
  </si>
  <si>
    <t>RD Krapinske Toplice</t>
  </si>
  <si>
    <t>Grad Zaprešić</t>
  </si>
  <si>
    <t>Vozila</t>
  </si>
  <si>
    <t>RD Zlatar Bistrica</t>
  </si>
  <si>
    <t>Grad Solin</t>
  </si>
  <si>
    <t xml:space="preserve">RCGO Piškornica </t>
  </si>
  <si>
    <t>RD Konjščina</t>
  </si>
  <si>
    <t>Općina Nedelišće</t>
  </si>
  <si>
    <t>Sanacija Karepovac</t>
  </si>
  <si>
    <t>RD Gvozd</t>
  </si>
  <si>
    <t>Grad Makarska</t>
  </si>
  <si>
    <t>Tehnička pomoć za Upravu za otpad</t>
  </si>
  <si>
    <t>RD Pisarovina</t>
  </si>
  <si>
    <t>Grad Bjelovar</t>
  </si>
  <si>
    <t xml:space="preserve">UKUPNO </t>
  </si>
  <si>
    <t>RD Županja</t>
  </si>
  <si>
    <t>Grad Karlovac</t>
  </si>
  <si>
    <t>RD Brdovec</t>
  </si>
  <si>
    <t>Općina Sveti Križ Začretje</t>
  </si>
  <si>
    <t>RD Daruvar</t>
  </si>
  <si>
    <t>Općina Krapinske Toplice</t>
  </si>
  <si>
    <t>RD Kapela</t>
  </si>
  <si>
    <t>Grad Crikvenica</t>
  </si>
  <si>
    <t>RD Požega</t>
  </si>
  <si>
    <t>Grad Zlatar</t>
  </si>
  <si>
    <t>II. ODOBRENI PROJEKTI / DONESENA ODLUKA O FINANCIRANJU</t>
  </si>
  <si>
    <t>RD Perušić</t>
  </si>
  <si>
    <t>Općina Topusko</t>
  </si>
  <si>
    <t>RD Pregrada</t>
  </si>
  <si>
    <t>Općina Čepin</t>
  </si>
  <si>
    <t>RD Ploče</t>
  </si>
  <si>
    <t>Grad Zadar</t>
  </si>
  <si>
    <t xml:space="preserve">Biootpad </t>
  </si>
  <si>
    <t>RD Vladislavci</t>
  </si>
  <si>
    <t>Grad Dugo Selo</t>
  </si>
  <si>
    <t>RD Klanjec</t>
  </si>
  <si>
    <t>Grad Pleternica</t>
  </si>
  <si>
    <t>RD Nuštar</t>
  </si>
  <si>
    <t>Grad Rovinj</t>
  </si>
  <si>
    <t>RD Žakanje</t>
  </si>
  <si>
    <t>Grad Jastrebarsko</t>
  </si>
  <si>
    <t>RD Rugvica</t>
  </si>
  <si>
    <t>Grad Virovitica</t>
  </si>
  <si>
    <t>RD Matulji</t>
  </si>
  <si>
    <t>Grad Krapina</t>
  </si>
  <si>
    <t>RD Đakovo 1</t>
  </si>
  <si>
    <t>Grad Knin</t>
  </si>
  <si>
    <t>KUMULATIVNO I+II</t>
  </si>
  <si>
    <t>RD Omiš</t>
  </si>
  <si>
    <t>Grad Vrbovec</t>
  </si>
  <si>
    <t>RD Stari Jankovci</t>
  </si>
  <si>
    <t>Grad Sveta Nedelja</t>
  </si>
  <si>
    <t>RD Otočac</t>
  </si>
  <si>
    <t>Općina Pušća</t>
  </si>
  <si>
    <t>RD Stubičke Toplice</t>
  </si>
  <si>
    <t>Općina Pitomača</t>
  </si>
  <si>
    <t>III. PREOSTALA DOSTUPNA ALOKACIJA PO POZIVIMA U TIJEKU</t>
  </si>
  <si>
    <t>RD Feričanci</t>
  </si>
  <si>
    <t>Grad Valpovo</t>
  </si>
  <si>
    <t>RD Jakovlje</t>
  </si>
  <si>
    <t>Grad Pakrac</t>
  </si>
  <si>
    <r>
      <t>Sortirnice</t>
    </r>
    <r>
      <rPr>
        <sz val="10"/>
        <rFont val="Calibri"/>
        <family val="2"/>
        <charset val="238"/>
        <scheme val="minor"/>
      </rPr>
      <t xml:space="preserve"> </t>
    </r>
    <r>
      <rPr>
        <i/>
        <sz val="10"/>
        <rFont val="Calibri"/>
        <family val="2"/>
        <charset val="238"/>
        <scheme val="minor"/>
      </rPr>
      <t>(prijave u odabiru)</t>
    </r>
  </si>
  <si>
    <t>RD Pazin</t>
  </si>
  <si>
    <t>Grad Vinkovci</t>
  </si>
  <si>
    <t>Postrojenja za biološku obradu biootpada</t>
  </si>
  <si>
    <t>RD Zagreb</t>
  </si>
  <si>
    <t>Grad Sveti Ivan Zelina</t>
  </si>
  <si>
    <t>RD Vodnjan</t>
  </si>
  <si>
    <t>Grad Ploče</t>
  </si>
  <si>
    <t>RD Bedekovčina</t>
  </si>
  <si>
    <t>Općina Tar-Vabriga</t>
  </si>
  <si>
    <t>RD Pleternica</t>
  </si>
  <si>
    <t>Grad Orahovica</t>
  </si>
  <si>
    <t>RD Biograd na Moru</t>
  </si>
  <si>
    <t>Grad Koprivnica</t>
  </si>
  <si>
    <t>RD Drniš</t>
  </si>
  <si>
    <t>Općina Sračinec</t>
  </si>
  <si>
    <t>KUMULATIVNO I+II+III</t>
  </si>
  <si>
    <t>RD Karlovac</t>
  </si>
  <si>
    <t>Grad Split</t>
  </si>
  <si>
    <t>RD Pitomača</t>
  </si>
  <si>
    <t>Grad Umag</t>
  </si>
  <si>
    <t>RD Knin</t>
  </si>
  <si>
    <t>Grad Gospić</t>
  </si>
  <si>
    <t>RD Blato</t>
  </si>
  <si>
    <t>Grad Labin</t>
  </si>
  <si>
    <t>IV. OSTALI PLANIRANI POZIVI</t>
  </si>
  <si>
    <t>RD Grad Sveta Nedelja</t>
  </si>
  <si>
    <t>Općina Konavle</t>
  </si>
  <si>
    <t>RD Sveti Filip i Jakov</t>
  </si>
  <si>
    <t>Grad Prelog</t>
  </si>
  <si>
    <t>Interventna mjera za Grad Zagreb</t>
  </si>
  <si>
    <t>RD Mali Lošinj</t>
  </si>
  <si>
    <t>Općina Medulin</t>
  </si>
  <si>
    <t>RD Donji Lapac</t>
  </si>
  <si>
    <t>Grad Čakovec</t>
  </si>
  <si>
    <t>RD Farkaševac</t>
  </si>
  <si>
    <t>Grad Klanjec</t>
  </si>
  <si>
    <t>Plaćeno EU
%</t>
  </si>
  <si>
    <t>RD Vojnić</t>
  </si>
  <si>
    <t>Grad Poreč</t>
  </si>
  <si>
    <t>RD Delnice</t>
  </si>
  <si>
    <t>Općina Donji Andrijevci</t>
  </si>
  <si>
    <t>RD Novigrad Podravski</t>
  </si>
  <si>
    <t>Grad Čazma</t>
  </si>
  <si>
    <t>IZRADA DOKUMENTACIJE ZA 3 CGO-a</t>
  </si>
  <si>
    <t>RD Ivankovo</t>
  </si>
  <si>
    <t>Grad Donji Miholjac</t>
  </si>
  <si>
    <t>RD Trpinja</t>
  </si>
  <si>
    <t>Grad Benkovac</t>
  </si>
  <si>
    <t>Izrada dokum. za CGO Zagreb</t>
  </si>
  <si>
    <t>RD Rab</t>
  </si>
  <si>
    <t>Grad Križevci</t>
  </si>
  <si>
    <t>Izrada dokum. za CGO Šagulje</t>
  </si>
  <si>
    <t>RD Medulin</t>
  </si>
  <si>
    <t>Grad Ogulin</t>
  </si>
  <si>
    <t>Izrada dokum. za CGO Orlovnjak</t>
  </si>
  <si>
    <t>RD Benkovac</t>
  </si>
  <si>
    <t>Grad Ivanić- Grad</t>
  </si>
  <si>
    <t>UKUPNO 3 CGO-a</t>
  </si>
  <si>
    <t>RD Varaždinske Toplice</t>
  </si>
  <si>
    <t>Grad Belišće</t>
  </si>
  <si>
    <t>RD Solin</t>
  </si>
  <si>
    <t>Grad Đurđevac</t>
  </si>
  <si>
    <t>RD Općina Novigrad</t>
  </si>
  <si>
    <t>Grad Dubrovnik</t>
  </si>
  <si>
    <t>RD Bjelovar</t>
  </si>
  <si>
    <t>Grad Kastav</t>
  </si>
  <si>
    <t>SANACIJE ODLAGALIŠTA - 1. poziv</t>
  </si>
  <si>
    <t>RD Novigrad-Cittanova</t>
  </si>
  <si>
    <t>Općina Staro Petrovo Selo</t>
  </si>
  <si>
    <t>RD Vela Luka</t>
  </si>
  <si>
    <t>Grad Ozalj</t>
  </si>
  <si>
    <t>Korisnik</t>
  </si>
  <si>
    <t>RD Garčin</t>
  </si>
  <si>
    <t>Grad Nova Gradiška</t>
  </si>
  <si>
    <t>Grad Vrbovsko (Cetin)</t>
  </si>
  <si>
    <t>RD Sisak-stari</t>
  </si>
  <si>
    <t>Grad Kutina</t>
  </si>
  <si>
    <t>Općina Brinje (Javorov vrh)</t>
  </si>
  <si>
    <t>RD Okrug</t>
  </si>
  <si>
    <t>Grad Đakovo</t>
  </si>
  <si>
    <t>Općina Gundinci (Stružice)</t>
  </si>
  <si>
    <t>RD Kutina</t>
  </si>
  <si>
    <t>Grad Donja Stubica</t>
  </si>
  <si>
    <t>Grad Vodice (Leć)</t>
  </si>
  <si>
    <t>RD Slavonski Brod</t>
  </si>
  <si>
    <t>Grad Ludbreg</t>
  </si>
  <si>
    <t>Općina Đulovac (Cjepidlake)</t>
  </si>
  <si>
    <t>RD Rijeka</t>
  </si>
  <si>
    <t>Grad Garešnica</t>
  </si>
  <si>
    <t>Grad Novi Vinodolski (Duplja)</t>
  </si>
  <si>
    <t>RD Marijanci</t>
  </si>
  <si>
    <t>Grad Supetar</t>
  </si>
  <si>
    <t>Općina Vojnić (Kokirevo)</t>
  </si>
  <si>
    <t>RD Osijek - Gornji grad</t>
  </si>
  <si>
    <t>Grad Kaštela</t>
  </si>
  <si>
    <t>Grad Pazin (Jelenčići V-IV faza)</t>
  </si>
  <si>
    <t>RD Osijek - Retfala</t>
  </si>
  <si>
    <t>Općina Viškovo</t>
  </si>
  <si>
    <t>Grad Novi Marof (Čret)</t>
  </si>
  <si>
    <t>RD Molve</t>
  </si>
  <si>
    <t>Grad Varaždin</t>
  </si>
  <si>
    <t>Općina Matulji (Osojnica)</t>
  </si>
  <si>
    <t>RD Ivanić-Grad</t>
  </si>
  <si>
    <t>Grad Osijek</t>
  </si>
  <si>
    <t>Općina Veliko Trojstvo (Grginac)</t>
  </si>
  <si>
    <t>RD Konavle</t>
  </si>
  <si>
    <t>Grad Pula</t>
  </si>
  <si>
    <t>Grad Osijek (Nemetin)</t>
  </si>
  <si>
    <t>RD Hrvatska Kostajnica</t>
  </si>
  <si>
    <t>Grad Novigrad</t>
  </si>
  <si>
    <t>Općina Drenovci (Gajevi)</t>
  </si>
  <si>
    <t>RD Velika</t>
  </si>
  <si>
    <t>Grad Novska</t>
  </si>
  <si>
    <t>Općina Gola (Hintov)</t>
  </si>
  <si>
    <t>RD Jakšić</t>
  </si>
  <si>
    <t xml:space="preserve">Grad Rijeka </t>
  </si>
  <si>
    <t>Općina Sv. Ivan Žabno (Trema-Gmanje)</t>
  </si>
  <si>
    <t>RD Sinj</t>
  </si>
  <si>
    <t>Grad Biograd na Moru</t>
  </si>
  <si>
    <t>Grad Pazin (Jelenčići V-staro odlagalište)</t>
  </si>
  <si>
    <t>RD Rešetari</t>
  </si>
  <si>
    <t>Općina Šolta</t>
  </si>
  <si>
    <t>Općina Vrbanja (Muškovo - ključ)</t>
  </si>
  <si>
    <t>RD Topusko</t>
  </si>
  <si>
    <t>Grad Velika Gorica</t>
  </si>
  <si>
    <t>Grad Rovinj (Lokva Vidotto)</t>
  </si>
  <si>
    <t>RD Oriovac</t>
  </si>
  <si>
    <t>Grad Zagreb</t>
  </si>
  <si>
    <t>Općina Jagodnjak (Jagodnjak 1)</t>
  </si>
  <si>
    <t>RD Kostrena</t>
  </si>
  <si>
    <t>UKUPNO IIA</t>
  </si>
  <si>
    <t>Grad Ilok (Božino brdo)</t>
  </si>
  <si>
    <t>RD Vrbovec</t>
  </si>
  <si>
    <t>Grad Cres (Pržići)</t>
  </si>
  <si>
    <t>RD Brckovljani</t>
  </si>
  <si>
    <t>Grad Poreč (Košambra)</t>
  </si>
  <si>
    <t>RD Suhopolje</t>
  </si>
  <si>
    <t>RASKINUTI UGOVORI</t>
  </si>
  <si>
    <t>Grad Rab (Sorinj)</t>
  </si>
  <si>
    <t>RD Buje</t>
  </si>
  <si>
    <t>UKUPNO DODIJELJENO - 1. poziv</t>
  </si>
  <si>
    <t>RD Dubrovačko primorje</t>
  </si>
  <si>
    <t>SANACIJE ODLAGALIŠTA - 2. poziv</t>
  </si>
  <si>
    <t>RD Koprivnica</t>
  </si>
  <si>
    <t>RD Drenovci</t>
  </si>
  <si>
    <t>Grad Pula (Kaštijun)</t>
  </si>
  <si>
    <t>RD Markušica</t>
  </si>
  <si>
    <t>Grad Drniš (Moseć)</t>
  </si>
  <si>
    <t>RD Čepin</t>
  </si>
  <si>
    <t>Općina Drenje (Kosinac)</t>
  </si>
  <si>
    <t>RD Nova Gradiška</t>
  </si>
  <si>
    <t>Grad Skradin (Bratiškovački gaj)</t>
  </si>
  <si>
    <t>RD Đurđenovac</t>
  </si>
  <si>
    <t>Grad Osijek (Sarvaš)</t>
  </si>
  <si>
    <t>RD Štefanje</t>
  </si>
  <si>
    <t>Općina Ferdinandovac (Orl)</t>
  </si>
  <si>
    <t>RD Dugopolje</t>
  </si>
  <si>
    <t>Općina Starigrad (Samograd)</t>
  </si>
  <si>
    <t>RD Novi Marof</t>
  </si>
  <si>
    <t>Općina Pitomača (Klisa)</t>
  </si>
  <si>
    <t>RD Bilje</t>
  </si>
  <si>
    <t>UKUPNO DODIJELJENO - 2. poziv</t>
  </si>
  <si>
    <t>RD Klana</t>
  </si>
  <si>
    <t>RD Ogulin</t>
  </si>
  <si>
    <t>SANACIJE - oba poziva</t>
  </si>
  <si>
    <t>RD Podstrana</t>
  </si>
  <si>
    <t>RD Dicmo</t>
  </si>
  <si>
    <t>RD Popovac</t>
  </si>
  <si>
    <t>RD Cres</t>
  </si>
  <si>
    <t>RD Legrad</t>
  </si>
  <si>
    <t>NACIONALNO FINANCIRANJE</t>
  </si>
  <si>
    <t>RD Baška</t>
  </si>
  <si>
    <t>RD Špišić Bukovica</t>
  </si>
  <si>
    <t>Projekt</t>
  </si>
  <si>
    <t>Odobreni iznos</t>
  </si>
  <si>
    <t>Isplaćeni iznos</t>
  </si>
  <si>
    <t>% isplaćeno</t>
  </si>
  <si>
    <t>RD Đakovo 2</t>
  </si>
  <si>
    <t>RD Glina</t>
  </si>
  <si>
    <t>RD Kloštar Podravski</t>
  </si>
  <si>
    <t>RD Dubrava</t>
  </si>
  <si>
    <t>RD Ilok</t>
  </si>
  <si>
    <t>RD Marija Bistrica</t>
  </si>
  <si>
    <t>RD Tovarnik</t>
  </si>
  <si>
    <t>RD Sunja</t>
  </si>
  <si>
    <t>RD Sisak Novi</t>
  </si>
  <si>
    <t>RD Virje</t>
  </si>
  <si>
    <t>RD Trogir</t>
  </si>
  <si>
    <t>RD Žminj</t>
  </si>
  <si>
    <t>RD Lekenik</t>
  </si>
  <si>
    <t>RD Vrsar</t>
  </si>
  <si>
    <t>RD Podbablje</t>
  </si>
  <si>
    <t>RD Gračac</t>
  </si>
  <si>
    <t>RD Cernik</t>
  </si>
  <si>
    <t>RD Duga Resa</t>
  </si>
  <si>
    <t>RD Slunj</t>
  </si>
  <si>
    <t>RD Garešnica</t>
  </si>
  <si>
    <t>RD Donja Stubica</t>
  </si>
  <si>
    <t>RD Virovitica</t>
  </si>
  <si>
    <t>RD Orle</t>
  </si>
  <si>
    <t>RD Jelenje</t>
  </si>
  <si>
    <t>RD Vinodolska općina</t>
  </si>
  <si>
    <t>RD Generalski Stol</t>
  </si>
  <si>
    <t>RD Jelsa</t>
  </si>
  <si>
    <t>Uk. plaćeno
(HRK)</t>
  </si>
  <si>
    <t>VOZILA - ugovoreni projekti</t>
  </si>
  <si>
    <t>RD - ugovoreni projekti po 2. pozivu</t>
  </si>
  <si>
    <t>GRAĐEVNI/GLOMAZNI OTPAD - ugovoreni projekti</t>
  </si>
  <si>
    <t>SORTIRNICE - ugovoreni projekti</t>
  </si>
  <si>
    <t>Zelinske komunalije d.o.o. Sv. Ivan Zelina</t>
  </si>
  <si>
    <t>Michieli-Tomić d.o.o. Pučišća</t>
  </si>
  <si>
    <t>Grad Rijeka</t>
  </si>
  <si>
    <t>GKP ČAKOM d.o.o. Čakovec</t>
  </si>
  <si>
    <t>Općina Kravarsko</t>
  </si>
  <si>
    <t>Sekundar usluge d.o.o. Matulji</t>
  </si>
  <si>
    <t>GKP PRE-KOM d.o.o. Prelog</t>
  </si>
  <si>
    <t>Općina Bistra</t>
  </si>
  <si>
    <t>Reoma Grupa d.o.o. Zagreb</t>
  </si>
  <si>
    <t>Univerzal d.o.o. Đakovo</t>
  </si>
  <si>
    <t>Nevkoš d.o.o. Vinkovci</t>
  </si>
  <si>
    <t>Zeleni grad Šibenik d.o.o. Šibenik</t>
  </si>
  <si>
    <t>Općina Beretinec</t>
  </si>
  <si>
    <t>Centar za otpad d.o.o. Zagreb</t>
  </si>
  <si>
    <t>Novokom d.o.o. Novska</t>
  </si>
  <si>
    <t>Općina Draganić</t>
  </si>
  <si>
    <t>Eko-Flor Plus d.o.o. Oroslavje</t>
  </si>
  <si>
    <t>Drava Kom d.o.o. Koprivnica</t>
  </si>
  <si>
    <t>Općina Babina Greda</t>
  </si>
  <si>
    <t>Metis d.d. Bakar</t>
  </si>
  <si>
    <t>Stambeno kom. gospodarstvo d.o.o. Ogulin</t>
  </si>
  <si>
    <t>Općina Podcrkavlje</t>
  </si>
  <si>
    <t>Solution d.o.o. Zadar</t>
  </si>
  <si>
    <t>MURS-EKOM d.o.o. Mursko Središće</t>
  </si>
  <si>
    <t>Općina Udbina</t>
  </si>
  <si>
    <t>Kopko d.o.o. Osijek</t>
  </si>
  <si>
    <t>Kombel d.o.o. Belišće</t>
  </si>
  <si>
    <t>Općina Pirovac</t>
  </si>
  <si>
    <t>Lijepa Bistrica d.o.o. Marija Bistrica</t>
  </si>
  <si>
    <t>Općina Donja Motičina</t>
  </si>
  <si>
    <t>Innecto d.o.o. Sinj</t>
  </si>
  <si>
    <t>UKUPNO DODIJELJENO</t>
  </si>
  <si>
    <t>Bibinjac d.o.o. Bibinje</t>
  </si>
  <si>
    <t>Općina Končanica</t>
  </si>
  <si>
    <t>Iskopi i transporti Belobrajdić d.o.o. Delnice</t>
  </si>
  <si>
    <t>Azelija Eko d.o.o. Ozalj</t>
  </si>
  <si>
    <t xml:space="preserve">Grad Osijek </t>
  </si>
  <si>
    <t>GMTT LEŠĆANEC Ozalj</t>
  </si>
  <si>
    <t>Komunalac d.o.o. Bjelovar</t>
  </si>
  <si>
    <t>Općina Hrvatska Dubica</t>
  </si>
  <si>
    <t>Univerzal d.o.o. Varaždin</t>
  </si>
  <si>
    <t>Eko-Murvica d.o.o. Crikvenica</t>
  </si>
  <si>
    <t xml:space="preserve">Općina Levanjska Varoš </t>
  </si>
  <si>
    <t>Ceste Požega d.o.o. Požega</t>
  </si>
  <si>
    <t>SORTIRNICE - odluke o financiranju</t>
  </si>
  <si>
    <t>Ivkom d.d. Ivanec</t>
  </si>
  <si>
    <t>Općina Crnac</t>
  </si>
  <si>
    <t>Uzda d.o.o. Sinj</t>
  </si>
  <si>
    <t>Čistoća i zelenilo d.o.o. Knin</t>
  </si>
  <si>
    <t>Općina Tisno</t>
  </si>
  <si>
    <t>Ljubljan d.o.o. Dugopolje</t>
  </si>
  <si>
    <t>Br.</t>
  </si>
  <si>
    <t>EU sredstva</t>
  </si>
  <si>
    <t>Komunalno poduzeće d.o.o. Križevci</t>
  </si>
  <si>
    <t>Općina Primošten</t>
  </si>
  <si>
    <t>Imikop d.o.o. Sveta Nedjelja</t>
  </si>
  <si>
    <t>DARKOM d.o.o. Daruvar</t>
  </si>
  <si>
    <t>Grad Korčula</t>
  </si>
  <si>
    <t>Feliks Regulacija d.o.o. Slavonski Brod</t>
  </si>
  <si>
    <t>Grad Mali Lošinj</t>
  </si>
  <si>
    <t>Doroslov d.o.o. Donji Miholjac</t>
  </si>
  <si>
    <t>Općina Kaptol</t>
  </si>
  <si>
    <t>Delta Inženjering d.o.o. Metković</t>
  </si>
  <si>
    <t>Pula Herculanea d.o.o. Pula</t>
  </si>
  <si>
    <t>Grad Opuzen</t>
  </si>
  <si>
    <t>CE-ZA-R Centar za reciklažu d.o.o.</t>
  </si>
  <si>
    <t>UKUPNO SORTIRNICE</t>
  </si>
  <si>
    <t>Komunalno održavanje d.o.o. Ploče</t>
  </si>
  <si>
    <t>Općina Dežanovac</t>
  </si>
  <si>
    <t>Builder d.o.o. Makarska</t>
  </si>
  <si>
    <t>GKD Senj d.o.o. Senj</t>
  </si>
  <si>
    <t>Općina Đulovac</t>
  </si>
  <si>
    <t>Slonja d.o.o. Beli Manastir</t>
  </si>
  <si>
    <t>Ivakop d.o.o. Ivanić-Grad</t>
  </si>
  <si>
    <t>Općina Pokupsko</t>
  </si>
  <si>
    <t>3 K.F. d.o.o. Zagreb</t>
  </si>
  <si>
    <t>Komunalac d.o.o. Grubišno Polje</t>
  </si>
  <si>
    <t xml:space="preserve">Općina Netretić </t>
  </si>
  <si>
    <t>BIOOTPAD - ugovoreni projekti</t>
  </si>
  <si>
    <t>Komunalije d.o.o. Čazma</t>
  </si>
  <si>
    <t>Općina Lišane Ostrovičke</t>
  </si>
  <si>
    <t>Mulić d.o.o. Sali</t>
  </si>
  <si>
    <t>Općina Kamanje</t>
  </si>
  <si>
    <t>Drenovci d.o.o. Drenovci</t>
  </si>
  <si>
    <t>Grad Vrbovsko</t>
  </si>
  <si>
    <t>Odlagalište d.o.o. Nova Gradiška</t>
  </si>
  <si>
    <t>Komunalac d.o.o. Koprivnica</t>
  </si>
  <si>
    <t>KD Polača d.o.o. Polača</t>
  </si>
  <si>
    <t>Općina Veliki Grđevac</t>
  </si>
  <si>
    <t>Komunalac Požega d.o.o.  Požega</t>
  </si>
  <si>
    <t>Contrada d.o.o. Vodnjan</t>
  </si>
  <si>
    <t>Općina Majur</t>
  </si>
  <si>
    <t xml:space="preserve">Komunalne usluge Đurđevac d.o.o. </t>
  </si>
  <si>
    <t>Čistoća Cetinske krajine d.o.o. Sinj</t>
  </si>
  <si>
    <t>Općina Marčana</t>
  </si>
  <si>
    <t>Čistoća Duga Resa d.o.o. Duga Resa</t>
  </si>
  <si>
    <t>Komunalac Gospić d.o.o. Gospić</t>
  </si>
  <si>
    <t>Grad Kutjevo</t>
  </si>
  <si>
    <t>Unikom d.o.o. Osijek</t>
  </si>
  <si>
    <t>Općina Biskupija</t>
  </si>
  <si>
    <t>Našički Park d.o.o.</t>
  </si>
  <si>
    <t>Općina Bebrina</t>
  </si>
  <si>
    <t>Usluga Poreč d.o.o. Poreč</t>
  </si>
  <si>
    <t>Općina Slavonski Šamac</t>
  </si>
  <si>
    <t>Komunalno Pitomača d.o.o. Pitomača</t>
  </si>
  <si>
    <t>Grad Grubišno Polje</t>
  </si>
  <si>
    <t>Flora VTC d.o.o. Virovitica</t>
  </si>
  <si>
    <t>Komunalac Davor d.o.o. Davor</t>
  </si>
  <si>
    <t>Grad Skradin</t>
  </si>
  <si>
    <t>Graditelj svratišta d.o.o. Zagreb</t>
  </si>
  <si>
    <t>Općina Okučani</t>
  </si>
  <si>
    <t>Ekspert gradnja d.o.o. Buzet</t>
  </si>
  <si>
    <t>BIOOTPAD - odluke o financiranju</t>
  </si>
  <si>
    <t>Čistoća Županja d.o.o. Županja</t>
  </si>
  <si>
    <t>Općina Tkon</t>
  </si>
  <si>
    <t>ZG MINERALNE SIROVINE</t>
  </si>
  <si>
    <t>Čistoća d.o.o. Varaždin</t>
  </si>
  <si>
    <t>Grad Trilj</t>
  </si>
  <si>
    <t>Zeleno i modro d.o.o. Kaštel Sućurac</t>
  </si>
  <si>
    <t>Općina Čačinci</t>
  </si>
  <si>
    <t>GKP Komunalac d.o.o. Koprivnica</t>
  </si>
  <si>
    <t>Općina Vrpolje</t>
  </si>
  <si>
    <t>Gradska čistoća Drniš d.o.o. Drniš</t>
  </si>
  <si>
    <t>Općina Klakar</t>
  </si>
  <si>
    <t>Vrilo d.o.o.</t>
  </si>
  <si>
    <t>Općina Fužine</t>
  </si>
  <si>
    <t>Lopar Vrutak d.o.o.</t>
  </si>
  <si>
    <t>Komunalac Požega d.o.o. Požega</t>
  </si>
  <si>
    <t>Komunalno Zabok d.o.o.</t>
  </si>
  <si>
    <t>Čistoća d.o.o. Zadar</t>
  </si>
  <si>
    <t>KD Čistoća d.o.o. Rijeka</t>
  </si>
  <si>
    <t>Komunalac d.o.o. Vrbovsko</t>
  </si>
  <si>
    <t>Dugoselski kom. i poduz. centar d.o.o.</t>
  </si>
  <si>
    <t>Urbanizam d.o.o. Valpovo</t>
  </si>
  <si>
    <t>Komunalni servis Popovača d.o.o.</t>
  </si>
  <si>
    <t>RD - odluke o financiranju</t>
  </si>
  <si>
    <t>Općina Sali</t>
  </si>
  <si>
    <t>Općina Veliko Trgovišće</t>
  </si>
  <si>
    <t>UKUPNO VOZILA</t>
  </si>
  <si>
    <t>VOZILA - odluke o financiranju*</t>
  </si>
  <si>
    <t>KOM-ILOK d.o.o.</t>
  </si>
  <si>
    <t>UKUPNO RD</t>
  </si>
  <si>
    <t>Babić d.o.o. Cestica</t>
  </si>
  <si>
    <t>Vegium d.o.o. Karlobag</t>
  </si>
  <si>
    <t>Arburoža d.o.o.</t>
  </si>
  <si>
    <t>Komunalac Vrbovec d.o.o.</t>
  </si>
  <si>
    <t>Čvorkovac d.o.o.</t>
  </si>
  <si>
    <t>GOSPODARENJE OTPADOM SISAK d.o.o.</t>
  </si>
  <si>
    <t>KOMUNALAC GLINA d.o.o.</t>
  </si>
  <si>
    <t>Ponikve Eko Otok Krk d.o.o. Krk</t>
  </si>
  <si>
    <t>Komunalac KP Konjščina d.o.o. Konjščina</t>
  </si>
  <si>
    <t>Rakovica d.o.o. Rakovica</t>
  </si>
  <si>
    <t>VOJNIĆ KOMUNALAC d.o.o. za komunalne djelatnosti</t>
  </si>
  <si>
    <t>*14.1.21.donesena je Odluka o poništenju OoF za Prijavitelja Michieli-Tomić d.o.o. u iznosu od 733.156,94 HRK</t>
  </si>
  <si>
    <t>Umanjena alokacija za iznos neostvarene pričuve u iznosu od 98.960.412,96 €; umanjena alokacija u iznosu od 100.000.000 € (izmjene OPKK prosinac 2020.)</t>
  </si>
  <si>
    <t>Bespovratna sredstva - Tematski cilj 1</t>
  </si>
  <si>
    <t>VREDNOVANJE</t>
  </si>
  <si>
    <t>UGOVARANJE</t>
  </si>
  <si>
    <t>PROVEDBA</t>
  </si>
  <si>
    <t>FINANCIJE</t>
  </si>
  <si>
    <t>Vrsta Poziva</t>
  </si>
  <si>
    <t>Status Poziva 
(razdoblje zaprimanja prijedloga)</t>
  </si>
  <si>
    <t>Alokacija</t>
  </si>
  <si>
    <t>Broj zaprimljenih PP
2015 i 2016.</t>
  </si>
  <si>
    <t>Broj zaprimljenih PP
2017</t>
  </si>
  <si>
    <t>Broj zaprimljenih PP
2018</t>
  </si>
  <si>
    <t>Broj zaprimljenih PP
2019</t>
  </si>
  <si>
    <t>Broj zaprimljenih PP
2020</t>
  </si>
  <si>
    <t>Broj zaprimljenih PP
2021</t>
  </si>
  <si>
    <t>Ukupno broj zaprimljenih PP</t>
  </si>
  <si>
    <t>Vrijednost zatražene potpore</t>
  </si>
  <si>
    <t>Vrijednost zaprimljenih zahtjeva</t>
  </si>
  <si>
    <t>Broj obrađenih PP</t>
  </si>
  <si>
    <t>Broj PP u obradi</t>
  </si>
  <si>
    <t>Broj donesenih Odluka o financiranju
2015 i 2016</t>
  </si>
  <si>
    <t>Broj donesenih Odluka o financiranju
2017</t>
  </si>
  <si>
    <t>Broj donesenih Odluka o financiranju
2018</t>
  </si>
  <si>
    <t>Broj donesenih Odluka o financiranju
2019</t>
  </si>
  <si>
    <t>Broj donesenih Odluka o financiranju
2020</t>
  </si>
  <si>
    <t>Broj donesenih Odluka o financiranju
2021</t>
  </si>
  <si>
    <t>Ukupan broj donesenih Odluka o financiranju</t>
  </si>
  <si>
    <t>Broj isključenih PP</t>
  </si>
  <si>
    <t>Preostalo u odnosu na objavljenu alokaciju/program</t>
  </si>
  <si>
    <t>Vrijednost donesenih Odluka o financiranju</t>
  </si>
  <si>
    <t>Iskorištenost (OoF/Objavljeno)</t>
  </si>
  <si>
    <t>Prosječni iznos dodijeljene potpore</t>
  </si>
  <si>
    <t>Broj potpisanih ugovora
KN</t>
  </si>
  <si>
    <t>Ukupna vrijednost projekata
KN</t>
  </si>
  <si>
    <t>Planirani broj novozaposlenih</t>
  </si>
  <si>
    <t>Iznos bespovratne potpore
KN</t>
  </si>
  <si>
    <t>Broj završenih projekata</t>
  </si>
  <si>
    <t>Broj raskinutih Ugovora</t>
  </si>
  <si>
    <t>Ukupan iznos odobrenih prihvatljivih izdataka</t>
  </si>
  <si>
    <t>Ukupan iznos isplaćenih sredstava</t>
  </si>
  <si>
    <t>Ukupan iznos prihvatljivih sredstava 
(poslanih na ovjeru EK)</t>
  </si>
  <si>
    <t>Ukupan iznos certificiranih sredstava 
(85% od poslanog na ovjeru)</t>
  </si>
  <si>
    <t>Povećanje razvoja novih proizvoda i usluga koji proizlaze iz aktivnosti istraživanja i razvoja - I faza
KK.01.2.1.01</t>
  </si>
  <si>
    <t>1b1
Novi proizvodi i usluge kao rezultat djelatnosti istraživanja, razvoja i inovacija (IRI)</t>
  </si>
  <si>
    <t>otvoreni trajni</t>
  </si>
  <si>
    <t>zatvoren
(4. 5. 2016. - 2. 1. 2018.)</t>
  </si>
  <si>
    <t>Ista alokacija za IRI 1 i IRI 2.</t>
  </si>
  <si>
    <t>Postupak dodjele završen.    *1 OoF poništena - iznos BS: 3.721.587,30 HRK</t>
  </si>
  <si>
    <t>n/p</t>
  </si>
  <si>
    <t>Strateški  projekt za podršku inicijativa klastera konkurentnosti
KK.01.2.2..01</t>
  </si>
  <si>
    <t>1b2
Povećanje aktivnosti istraživanja i razvoja poslovnog sektora kroz stvaranje povoljnog inovacijskog okruženja</t>
  </si>
  <si>
    <t>izravna dodjela</t>
  </si>
  <si>
    <t>zatvoren</t>
  </si>
  <si>
    <t>Postupak dodjele završen.</t>
  </si>
  <si>
    <t>Strateški projekt za podršku uspostavi Inovacijske mreže za industriju i tematskih inovacijskih platformi
KK.01.2.2.02</t>
  </si>
  <si>
    <t>CEKOM - Podrška razvoju Centara kompetencija
KK.01.2.2.03</t>
  </si>
  <si>
    <t>ograničeni</t>
  </si>
  <si>
    <t>zatvoren
(26. 6. 2017. - 28. 12. 2017.)</t>
  </si>
  <si>
    <t xml:space="preserve">
Drugom izmjenom  Programa potpora CEKOM 16.06.2020. - umanjen ukupni iznos programa za 219.465.332,23 HRK (za razliku povećana alokacija IRI programa, tj. IRI2 Poziv).
Trećom izmjenom Programa potpora CEKOM 11.12.2020. - umanjen ukupni iznos programa za 35.079.294,21 HRK (za taj iznos povećana alokacija IRI programa, tj. IRI2 Poziv). Nova alokacija Poziva je  531.432.873,56 HRK.
</t>
  </si>
  <si>
    <t>Povećanje razvoja novih proizvoda i usluga koji proizlaze iz aktivnosti istraživanja i razvoja - faza II 
KK.01.2.1.02</t>
  </si>
  <si>
    <t>zatvoren
Poziv objavljen 11.12.2019.
(zaprimanje prijava od 17.02.2020. - 29. 6. 2020.)</t>
  </si>
  <si>
    <t>UKUPNO TC1 (alokacija)</t>
  </si>
  <si>
    <t>-</t>
  </si>
  <si>
    <t>Bespovratna sredstva - Tematski cilj 3</t>
  </si>
  <si>
    <t>Broj zaprimljenih PP
2015 i 2016</t>
  </si>
  <si>
    <t>Ukupan iznos certificiranih sredstava</t>
  </si>
  <si>
    <t>P1
Izgradnja proizvodnih kapaciteta MSP i ulaganje u opremu (Infrastruktura i oprema)
KK.03.2.1.01</t>
  </si>
  <si>
    <t>3d1
Poboljšan razvoj i rast malih i srednjih poduzetnika na domaćim i stranim tržištima</t>
  </si>
  <si>
    <t>zatvoren 
(11. 5. 2015. - 8. 4. 2016.)</t>
  </si>
  <si>
    <t>Ista alokacija P1, P2, P6, P15</t>
  </si>
  <si>
    <t>P2
Ulaganje u proizvodnu tehnologiju MSP (Oprema)
KK.03.2.1.02</t>
  </si>
  <si>
    <t xml:space="preserve">Postupak dodjele završen. </t>
  </si>
  <si>
    <t>P3
Poboljšanje konkurentnosti i učinkovitosti MSP u područjima s razvojnim posebnostima kroz informacijske i komunikacijske tehnologije (IKT)
KK.03.2.1.03.</t>
  </si>
  <si>
    <t>otvoreni privremeni</t>
  </si>
  <si>
    <t>zatvoren 
(21. 9. 2015. - 15. 2. 2016.)</t>
  </si>
  <si>
    <t>P4
Podrška razvoju MSP u turizmu povećanjem kvalitete i dodatne ponude hotela (TURIZAM)
KK.03.2.1.04.</t>
  </si>
  <si>
    <t>zatvoren 
(16. 11. 2015. - 31. 12. 2016.)</t>
  </si>
  <si>
    <t>P5
Inovacije novoosnovanih MSP
KK.03.2.2.01.</t>
  </si>
  <si>
    <t>3d2
Poboljšana inovativnost malih i srednjih poduzetnika</t>
  </si>
  <si>
    <t>zatvoren
(10. 6. 2016. - 31. 12. 2016.)</t>
  </si>
  <si>
    <t>P6 
Kompetentnost i razvoj
KK.03.2.1.05</t>
  </si>
  <si>
    <t>zatvoren 
(1. 6. 2016. - 31. 12. 2016.)</t>
  </si>
  <si>
    <t>P7
E-impuls
KK.03.2.1.06</t>
  </si>
  <si>
    <t>zatvoren 
(1. 8. 2016. - 30. 09. 2016.)</t>
  </si>
  <si>
    <t>P8
Razvoj poslovne infrastrukture (BRI)
KK.03.1.2.01</t>
  </si>
  <si>
    <t>3a2
Omogućavanje povoljnog okruženja za razvoj poduzetništva</t>
  </si>
  <si>
    <t>zatvoren 
(1. 10. 2016. - 31. 12. 2016.)</t>
  </si>
  <si>
    <t>P9
Komercijalizacija inovacija u poduzetništvu (KIP)
KK.03.2.2.02</t>
  </si>
  <si>
    <t>zatvoren
(15. 2. 2017. - 31. 12. 2017.)</t>
  </si>
  <si>
    <t>P10
Internacionalizacija poslovanja MSP-ova
KK.03.2.1.07</t>
  </si>
  <si>
    <t>zatvoren
(10. 5. 2017. - 31. 12. 2017.)</t>
  </si>
  <si>
    <t>Postupak dodjele završen.
Povećana alokacija za 18 mil kn.</t>
  </si>
  <si>
    <t>P11
Certifikacijom proizvoda do tržišta
KK.03.2.1.08</t>
  </si>
  <si>
    <t>zatvoren
(22. 5. 2017. - 31. 3. 2018. - HAMAG)</t>
  </si>
  <si>
    <t>P12
Razvoj infrastrukture poduzetničkih zona - faza 1
KK.03.1.2.03</t>
  </si>
  <si>
    <t>zatvoren 
(22. 5. 2017. - 22. 9. 2017. - SAFU)</t>
  </si>
  <si>
    <t>3a2.1.2.
MREŽA-HAMAG-BICRO
KK.03.1.2.02</t>
  </si>
  <si>
    <t>ograničeni privremeni</t>
  </si>
  <si>
    <t>zatvoren 
(20. 1. 2017. - 7. 4. 2017.)</t>
  </si>
  <si>
    <t>P 13
 Pružanje visokokvalitetnih usluga za MSP putem Poduzetničkih potpornih institucija (PPI)  
KK.03.1.2.05</t>
  </si>
  <si>
    <t>zatvoren 
(15. 7. 2017. - 1. 10. 2017.)</t>
  </si>
  <si>
    <t>P14
Internacionalizacija rastućih i inovativnih MSP – Grupa PPI
KK.03.2.1.09</t>
  </si>
  <si>
    <t>zatvoren
(16. 8. 2017. - 31. 12. 2017.)</t>
  </si>
  <si>
    <t>P15 
Izgradnja i opremanje proizvodnih kapaciteta MSP
KK.03.2.1.15</t>
  </si>
  <si>
    <t>zatvoren
 (22. 5. 2018 - 28. 12. 2018.)</t>
  </si>
  <si>
    <t>n/d</t>
  </si>
  <si>
    <t>P17
Uvođenje sustava upravljanja poslovnim procesima i kvalitetom (ISO i slične norme)
KK.03.2.1.14</t>
  </si>
  <si>
    <t>zatvoren
(14. 5. 2018. - 23. 1. 2020.)</t>
  </si>
  <si>
    <t xml:space="preserve">Objavljen 13.04.2018. / Rok za zaprimanje PP je pomaknut s  14. svibnja na na 11. lipnja 2018, na zahtjev UT-a, radi provjera funkcionalnosti sustava efondovi
05.06.2020. Ukupna alokacija Poziva uvećana je za 10.600.000,00 kn te sada iznosi 48.600.000,00 kn.
</t>
  </si>
  <si>
    <t>P18
Certifikacijom proizvoda do tržišta
KK.03.2.1.12</t>
  </si>
  <si>
    <t>zatvoren
(18. 5. 2018. - 19. 6. 2020.)</t>
  </si>
  <si>
    <t>P21
Inovacijski vaučeri za MSP-ove
KK.03.2.2.03</t>
  </si>
  <si>
    <t>otvoren
Poziv objavljen 21.05.2018.
(zaprimanje prijava od 02.07.2018. - 30.06.2021.)</t>
  </si>
  <si>
    <t>21. lipnja objavljena 1. izmjena Poziva, početak zaprimanja PP pomaknut na 2. srpnja 2018. godine u 11:00 sati.
01.lipnja 2020. objavljena 4. izmjena Poziva, uvažavajući okolnosti nastale uslijed širenja koronavirusa i bolesti COVID-19, krajnji rok zaprimanja PP pomiče se sa 29.06.2020. na 31. prosinca 2020. godine u 11 sati ili  do iskorištenja sredstava.
18. prosinca 2020. objavljena 5. izmjena Poziva, krajnji rok zaprimanja PP pomiče se sa 31.12.2020. na 30. lipnja 2021. godine u 11 sati ili  do iskorištenja sredstava.
1 PP povučen od strane prijavitelja.</t>
  </si>
  <si>
    <t>P19
WWW vaučeri
KK.03.2.1.17</t>
  </si>
  <si>
    <t>zatvoren 8. 11. 2018.
(6. 7. 2018. - 29. 6. 2020.)</t>
  </si>
  <si>
    <t>Prijave se zaprimaju od 13. kolovoza 2018. godine u 11:00 sati. Poziv trajno zatvoren 8. studenog 2018, povećana alokacija 13. studenog.</t>
  </si>
  <si>
    <t>P20
Poboljšanje konkurentnosti i  učinkovitosti MSP  kroz informacijske i  komunikacijske tehnologije (IKT)
KK.03.2.1.19</t>
  </si>
  <si>
    <t>zatvoren
(21. 11. 2018. - 21. 12. 2018.)</t>
  </si>
  <si>
    <t>P16
Znakovi kvalitete
KK.03.2.1.11</t>
  </si>
  <si>
    <t>zatvoren
(10. 9. 2018. - 31. 12. 2020.)</t>
  </si>
  <si>
    <t>P22
Internacionalizacija poslovanja MSP-ova -Faza 2
KK. 03.2.1.16</t>
  </si>
  <si>
    <t>zatvoren
(30. 10. 2018. - 22. 5. 2020.)</t>
  </si>
  <si>
    <t>Promocija poduzetništva 2017.-2019.
KK.03.1.2.24</t>
  </si>
  <si>
    <t>zatvoren
(17. 12. 2018. - 1. 3. 2019.)</t>
  </si>
  <si>
    <t>P23
Inovacije novoosnovanih MSP-ova - II faza KK.03.2.2.04</t>
  </si>
  <si>
    <t>zatvoren
Poziv objavljen 14.12.2018.
(zaprimanje prijava od 15. 2. 2019. - 30. 9. 2019.)</t>
  </si>
  <si>
    <t>Dana 25. srpnja 2019. povećana alokacija na 200.000.000,00 HRK, alokacija povećana nakon analize zaprimljenih projektnih prijedloga nakon što se Poziv privremeno obustavio uz odobrenje UT-a od 22.07.2019. Prijave se zaprimaju od 15. veljače 2019. godine u 11:00 sati.
Poziv je privremeno obustavljen u periodu od 28.06.2019. do 30.09.2019.
Poziv je zatvoren 30.09.2019.</t>
  </si>
  <si>
    <t>Inovacije u S3 područjima 
KK.03.2.2.06</t>
  </si>
  <si>
    <t>zatvoren
Poziv objavljen 28.06.2019. 
(zaprimanje prijava od 15. 7. 2019. - 15. 11. 2019.)</t>
  </si>
  <si>
    <t>Usluge za MSP-ove putem poduzetničkih potpornih institucija (PPI)
KK.03.1.2.12</t>
  </si>
  <si>
    <t>zatvoren
(16. 8. 2019. - 16. 10. 2019.)</t>
  </si>
  <si>
    <t>Razvoj mreže poduzetničkih potpornih institucija (PPI) putem HAMAG-BICRO - Faza 2
KK.03.1.2.13</t>
  </si>
  <si>
    <t>zatvoren
(11. 2. 2020. - 15. 5. 2020.)</t>
  </si>
  <si>
    <t>Integrator
KK.03.2.2.05</t>
  </si>
  <si>
    <t>zatvoren
Poziv objavljen 02.03.2020.
Poziv zatvoren 31.08.2020. u 11h
(zaprimanje prijava od 29.05. do 15.09.2020.)</t>
  </si>
  <si>
    <t>UKUPNO TC3 
(alokacija bez FI i ITU)</t>
  </si>
  <si>
    <t>UKUPNO MINGPO</t>
  </si>
  <si>
    <t>Financijski instrumenti - Tematski cilj 3</t>
  </si>
  <si>
    <t>Alokacija - EFRR</t>
  </si>
  <si>
    <t>Postupak povjeravanja poslova provedbe financijskih instrumenata Hamag-Bicro-u</t>
  </si>
  <si>
    <t>3a1
Bolji pristup financiranju za male i srednje poduzetnike</t>
  </si>
  <si>
    <t>Financijski instrumenti</t>
  </si>
  <si>
    <t>Postupak povjeravanja poslova provedbe financijskog instrumenta HBOR-u</t>
  </si>
  <si>
    <t>Sklopljen Sporazum o financiranju</t>
  </si>
  <si>
    <t>ESIF Fond rizičnog kapitala</t>
  </si>
  <si>
    <t>Sporazum s EIF-om potpisan 7. lipnja 2018.</t>
  </si>
  <si>
    <t>COVID 19 zajmovi</t>
  </si>
  <si>
    <t xml:space="preserve">U okviru COVID mjera UT i HB potpisali dodatne SoF, 15+50 MEUR. Od navedenog 47,3 mil kn planirana u sklopu PO3 iz ostataka i projiciranih ušteda.
Dodatna alokacija za COVID kredite sukladno izmjeni OPKK iz rujna 2020., dodatno je alocirano 190 MEUR. te je sada ukupna alokacija za COVID kredite 245 MEUR. 
Dodatna alokacija za COVID kredite sukladno izmjeni OPKK iz prosinca 2020., dodatno je alocirano 100 MEUR. te je sada ukupna alokacija za COVID kredite 345 MEUR. (2.622.000.000,00 HRK), dodatna alokacija sa PO6
FI COVID IZNOSI 722 MIL KN, SREDSTVA  SU REALOCIRANA  S OSTALIH PRIORITETNIH OSI, PA ZBOG RAČUNICE UKUPNE ALOKACIJE ZA PO3, TAJ IZNOS  NIJE UBROJAN U ALOKACIJU FI </t>
  </si>
  <si>
    <t>SVEUKUPNO (bez ITU)</t>
  </si>
  <si>
    <t>ugovoreno</t>
  </si>
  <si>
    <t>isplaćeno</t>
  </si>
  <si>
    <t>EU PROJEKTI  - OPKK 2014. - 2020., SPECIFIČNI CILJEVI 6ii1, 6ii2 i 5b1</t>
  </si>
  <si>
    <t>PROJEKTI 6ii</t>
  </si>
  <si>
    <t>HRK</t>
  </si>
  <si>
    <t>EUR</t>
  </si>
  <si>
    <t>ukupno alokacija 6ii</t>
  </si>
  <si>
    <t>umanjena alokacija 6ii</t>
  </si>
  <si>
    <t>Ukupna vrijednost projekta (s PDV-om)
EUR</t>
  </si>
  <si>
    <t>Ukupno prihvatljivi troškovi 
EUR</t>
  </si>
  <si>
    <t>Ukupno EU
EUR</t>
  </si>
  <si>
    <t>Ukupna vrijednost projekta (s PDV-om)
HRK</t>
  </si>
  <si>
    <t>Ukupno prihvatljivi troškovi 
HRK</t>
  </si>
  <si>
    <t>Ukupno EU
HRK</t>
  </si>
  <si>
    <t>% OD ALOKACIJE (EU SREDSTVA)</t>
  </si>
  <si>
    <t>% OD UMANJENE ALOKACIJE (EU SREDSTVA)</t>
  </si>
  <si>
    <t>Ukupno EU
EUR
KUMULATIV</t>
  </si>
  <si>
    <t>Ukupno EU
HRK
KUMULATIV</t>
  </si>
  <si>
    <t>% OD ALOKACIJE (EU SREDSTVA)
KUMULATIV</t>
  </si>
  <si>
    <t>% OD UMANJENE ALOKACIJE (EU SREDSTVA)
KUMULATIV</t>
  </si>
  <si>
    <t>PROJEKTI U PROVEDBI</t>
  </si>
  <si>
    <t xml:space="preserve">ODOBRENI PROJEKTI </t>
  </si>
  <si>
    <t>UGOVORENO POVEĆANJE VRIJEDNOSTI</t>
  </si>
  <si>
    <t>PREOSTALO RASPOLOŽIVO ZA POVEĆANJE VRIJEDNOSTI</t>
  </si>
  <si>
    <t>PROJEKTI KOJIMA JE UPUĆEN POZIV</t>
  </si>
  <si>
    <t>PROJEKTI U VISOKOM STUPNJU SPREMNOSTI KOJIMA JE MOGUĆE UPUTITI POZIV U SLUČAJU ODOBRANJA DODATNOG OVERBOOKINGA (OBIĐENI NA TERENU)</t>
  </si>
  <si>
    <t>PIPELINE 3</t>
  </si>
  <si>
    <t>OSTALI PROJEKTI S ROKOM USKLAĐEJNA DO KRAJA 2018.</t>
  </si>
  <si>
    <t>PROJEKTI U PROVEDBI (potpisan Ugovor o dodjeli bespovratnih sredstava)</t>
  </si>
  <si>
    <t>Datum upućivanja poziva na dostavu aplikacijskog paketa dokumenata</t>
  </si>
  <si>
    <t>Projektna prijava službeno dostavljena</t>
  </si>
  <si>
    <t>Datum odobrenja postupka dodjele od strane UT</t>
  </si>
  <si>
    <t>Datum Jaspers Completion Note</t>
  </si>
  <si>
    <t>Datum Odluke o financiranju</t>
  </si>
  <si>
    <t>Datum potpisa Ugovora o dodjeli bespovratnih sredstava</t>
  </si>
  <si>
    <t>Ime EU Projekta</t>
  </si>
  <si>
    <t>Prijenos OPZO -&gt; OPKK
EU sredstva
HRK</t>
  </si>
  <si>
    <t>Financijska korekcija (EU dio u HRK)</t>
  </si>
  <si>
    <t>TTL EU (uključujući projektne predujmove i prijenos OPZO - OPKK umanjeno za financ. korekciju)
HRK</t>
  </si>
  <si>
    <t>TTL EU
HRK (opravdani projektni predujmovi + prijenos OPZO - OPKK umanjeno za financ. korekciju)</t>
  </si>
  <si>
    <t>TTL EU
HRK (opravdani projektni predujmovi + prijenos OPZO - OPKK, bez financ. korekcije)</t>
  </si>
  <si>
    <t>09.05.2016.</t>
  </si>
  <si>
    <t xml:space="preserve">
13.05.2016.
</t>
  </si>
  <si>
    <t>datum na dopisu 10.06.2016.
dostavljeno
14.06.2016.</t>
  </si>
  <si>
    <t>29.04.2016.</t>
  </si>
  <si>
    <t>16.06.2016.</t>
  </si>
  <si>
    <t>07.07.2016.</t>
  </si>
  <si>
    <t>Petrinja</t>
  </si>
  <si>
    <t>24.5.2016.</t>
  </si>
  <si>
    <t>23.6.2017. datum na dopisu
24.6.2016. zaprimljena</t>
  </si>
  <si>
    <t>26.7.2016. datum na dopisu
28.7.2017. zaprimljeno</t>
  </si>
  <si>
    <t>08.11.2016.</t>
  </si>
  <si>
    <t>09.12.2016.</t>
  </si>
  <si>
    <t>Rovinj</t>
  </si>
  <si>
    <t>11.5.2017.</t>
  </si>
  <si>
    <t>9.6.2017.datum na dopisu
13.6.2017. zaprimljeno</t>
  </si>
  <si>
    <t>14.06.2017.</t>
  </si>
  <si>
    <t>11.07.2017.</t>
  </si>
  <si>
    <t>Virovitica (faza II)</t>
  </si>
  <si>
    <t>04.07.2017.</t>
  </si>
  <si>
    <t>09.03.2017.</t>
  </si>
  <si>
    <t>20.12.2016. (JCN) 
09.05.2017. (IQR)</t>
  </si>
  <si>
    <t>06.06.2017.</t>
  </si>
  <si>
    <t>26.07.2017.</t>
  </si>
  <si>
    <t>Krk</t>
  </si>
  <si>
    <t>12.4.2017.</t>
  </si>
  <si>
    <t>18.4.2017. datum na dopisu
24.4.2017. zaprimljeno</t>
  </si>
  <si>
    <t>20.04.2017.</t>
  </si>
  <si>
    <t>25.07.2017.</t>
  </si>
  <si>
    <t>Poreč (faza II)</t>
  </si>
  <si>
    <t>Osijek (faza II)</t>
  </si>
  <si>
    <t>29.9.2017.</t>
  </si>
  <si>
    <t>14.6.2017. datum na dopisu
19.6.2017. zaprimljeno</t>
  </si>
  <si>
    <t>21.06.2017.</t>
  </si>
  <si>
    <t>Vukovar (faza II)</t>
  </si>
  <si>
    <t>5.6.2017.</t>
  </si>
  <si>
    <t>14.6.2017. datum na dopisu
27.6.2017. zaprimljeno</t>
  </si>
  <si>
    <t>30.06.2017.</t>
  </si>
  <si>
    <t>RVS Osijek (faza II)</t>
  </si>
  <si>
    <t>31.5.2017.</t>
  </si>
  <si>
    <t>16.6.2017. datum na dopisu
27.6.2017. zaprimljeno</t>
  </si>
  <si>
    <t>Nova Gradiška (faza II)</t>
  </si>
  <si>
    <t>14.6.2017. datum na dopisu
20.6.2017. zaprimljeno</t>
  </si>
  <si>
    <t>Županja (faza II)</t>
  </si>
  <si>
    <t>13.6.2017.</t>
  </si>
  <si>
    <t>7.7.2017. datum na dopisu
12.7.2017. zaprimljeno</t>
  </si>
  <si>
    <t>14.07.2017.</t>
  </si>
  <si>
    <t>Vodice (faza II)</t>
  </si>
  <si>
    <t>12.04.2017.</t>
  </si>
  <si>
    <t>02.08.2017.</t>
  </si>
  <si>
    <t>4.8.2017.</t>
  </si>
  <si>
    <t>11.10.2017.</t>
  </si>
  <si>
    <t>Varaždinske Toplice</t>
  </si>
  <si>
    <t>15.02.2017.</t>
  </si>
  <si>
    <t>službena dostava 02.03.2017.
dostavljene korekcije 16.05.2017./09.06.2017./
28.06.2017/03.07.2017./10.07.2017.;
završna verzija dostavljena 26.7.2017.</t>
  </si>
  <si>
    <t>04.08.2017.</t>
  </si>
  <si>
    <t>24.03.2017.</t>
  </si>
  <si>
    <t>16.8.2017.</t>
  </si>
  <si>
    <t>Rugvica - Dugo Selo</t>
  </si>
  <si>
    <t>10.04.2017.</t>
  </si>
  <si>
    <t>službena dostava 27.04.2017.
dostavljene korekcije: 13.07.2017./4.08.2017./
7.08.2017.; završna verzija dostavljena 22.08.2017.</t>
  </si>
  <si>
    <t>10.08.2017.</t>
  </si>
  <si>
    <t>22.8.2017.</t>
  </si>
  <si>
    <t>Donja Dubrava</t>
  </si>
  <si>
    <t>službena dostava 27.4.2017.
dostavljene korekcije
18.7.2017./28.7.2017./4.8.2017./7.8.2017.
završna verzija dostavljena
22.8.2017.</t>
  </si>
  <si>
    <t>Mursko Središće</t>
  </si>
  <si>
    <t>15.2.2017.</t>
  </si>
  <si>
    <t>službena dostava 6.4.2017.
dostavljene korekcije
5.6.2017./8.6.2017.
završna verzija dostavljena
30.6.2017.</t>
  </si>
  <si>
    <t>27.6.2017.</t>
  </si>
  <si>
    <t>29.3.2017. (JCN)
21.8.2017. (IQR)</t>
  </si>
  <si>
    <t>29.8.2017.</t>
  </si>
  <si>
    <t xml:space="preserve">Varaždin </t>
  </si>
  <si>
    <t>19.04.2017.</t>
  </si>
  <si>
    <t>25.08.2017.</t>
  </si>
  <si>
    <t>/</t>
  </si>
  <si>
    <t>5.9.2017.</t>
  </si>
  <si>
    <t>Jastrebarsko</t>
  </si>
  <si>
    <t>21.7.2017. (24.7.2017. e-mail)</t>
  </si>
  <si>
    <t>13.9.2017. mailom BEZ SLUŽBENOG DOPISA</t>
  </si>
  <si>
    <t>27.11.2017.</t>
  </si>
  <si>
    <t>30.11.2017.</t>
  </si>
  <si>
    <t>1.12.2017.</t>
  </si>
  <si>
    <t>Lipik - Pakrac</t>
  </si>
  <si>
    <t>25.8.2017.</t>
  </si>
  <si>
    <t>25.09.2017. službena dostava dopisom</t>
  </si>
  <si>
    <t>24.11.2017.</t>
  </si>
  <si>
    <t>6.11.2017.</t>
  </si>
  <si>
    <t>Đakovo</t>
  </si>
  <si>
    <t>28.9.2017. dostavljena maiom BEZ SLUŽBENOG DOPISA
9.11.2017. službeni dopis (e-mail 10.11.2017.)</t>
  </si>
  <si>
    <t>14.9.2017.</t>
  </si>
  <si>
    <t>Požega</t>
  </si>
  <si>
    <t>4.10.2017. dostavljena mailom 
BEZ SLUŽBENOG DOPISA
9.11.2017. službeni dopis (e-mail 10.11.2017.)</t>
  </si>
  <si>
    <t>28.11.2017.</t>
  </si>
  <si>
    <t>Pleternica</t>
  </si>
  <si>
    <t>7.9.2017. dostavjlena službenim dopisom</t>
  </si>
  <si>
    <t>26.11.2017.</t>
  </si>
  <si>
    <t>Vinkovci</t>
  </si>
  <si>
    <t>2.10.2017.</t>
  </si>
  <si>
    <t>26.10.2017. službeno dostavljena</t>
  </si>
  <si>
    <t>Valpovo - Belišće</t>
  </si>
  <si>
    <t>1.8.2017. službena dostava dopisom
dostavljene korekcije: 6.10.2017., 24.10.2017.</t>
  </si>
  <si>
    <t>10.11.2017.</t>
  </si>
  <si>
    <t>2.8.2017.</t>
  </si>
  <si>
    <t>3.1.3018.</t>
  </si>
  <si>
    <t>Nin-Privlaka-Vrsi</t>
  </si>
  <si>
    <t>31.3.2017.</t>
  </si>
  <si>
    <t>13.4.2017. službena dostava dopisom
dostavljene korekcije
15.09.2017./9.10.2017./23.10.2017./2.11.2017./22.11.2017.</t>
  </si>
  <si>
    <t>22.11.2017.</t>
  </si>
  <si>
    <t>23.03.2017.</t>
  </si>
  <si>
    <t>8.12.2017.</t>
  </si>
  <si>
    <t>4.1.2018.</t>
  </si>
  <si>
    <t>Velika Gorica</t>
  </si>
  <si>
    <t xml:space="preserve">5.9.2017. službena dostava dopisom/7.9.2017. mailom
dostavljene korekcije: 27.11.2017.
21.12.2017. dostavljeno PT2 4.1.2018. dostavljeno PT1;
23.1.2018.
</t>
  </si>
  <si>
    <t>13.2.2018.</t>
  </si>
  <si>
    <t>10.8.2017.
12.2.2018.</t>
  </si>
  <si>
    <t>19.3.2018.</t>
  </si>
  <si>
    <t>28.3.2018.</t>
  </si>
  <si>
    <t>Šibenik</t>
  </si>
  <si>
    <t>8.8.2017. službena dostava dopisom
dostavljene korekcije: 24.10.2017.
4.12.2017.
12.12.2017.</t>
  </si>
  <si>
    <t>29.12.2017.</t>
  </si>
  <si>
    <t>02.08.2017. (JCN)
23.3.2018. (IQR)</t>
  </si>
  <si>
    <t>3.4.2018.</t>
  </si>
  <si>
    <t>17.5.2018.</t>
  </si>
  <si>
    <t>Regionalni vodoopskrbni sustav Zagreb istok</t>
  </si>
  <si>
    <t>29.5.2017.
ponovno zatraženo 22.09.2017.</t>
  </si>
  <si>
    <t>30.6.2017. službena dostava dopisom;
9.10.2017. službeno dostavljenja nova aplikacija (mailom zaprimljeno 13.10.2017.)
dostavljene korekcije: 25.1.2018./15.2.2018./13.3.2018./20.3.2018./ 22.3.2018.</t>
  </si>
  <si>
    <t>4.4.2018.</t>
  </si>
  <si>
    <t>14.09.2017.</t>
  </si>
  <si>
    <t>19.4.2018.</t>
  </si>
  <si>
    <t>30.5.2018.</t>
  </si>
  <si>
    <t>Zabok-Zlatar</t>
  </si>
  <si>
    <t>14.2.2017.</t>
  </si>
  <si>
    <t>7.4.2017. mailom
dostavljene korekcije: 27.7.2017. (službena dostava dopisom)
18.12.2017./ 30.1.2018./ 2.3.2018./3.4.2018./18.4.2018.</t>
  </si>
  <si>
    <t>2.5.2018.</t>
  </si>
  <si>
    <t>24.3.2017.</t>
  </si>
  <si>
    <t>13.6.2018.</t>
  </si>
  <si>
    <t>28.6.2018.</t>
  </si>
  <si>
    <t>Betina-Murter</t>
  </si>
  <si>
    <t>30.5.2017.</t>
  </si>
  <si>
    <t>10.7.2017. službena dostava dopisom/11.7.2017. mailom
dostavljene korekcije: 2.10.2017./9.11.2017./15.11.2017.</t>
  </si>
  <si>
    <t>30.1.2018.</t>
  </si>
  <si>
    <t xml:space="preserve">4.7.2017./
/19.12.2017./
12.1.2018. (JCN)
23.5.2018. (IQR)
</t>
  </si>
  <si>
    <t>28.5.2018.</t>
  </si>
  <si>
    <t>12.7.2018.</t>
  </si>
  <si>
    <t>Rijeka</t>
  </si>
  <si>
    <t>19.12.2017.</t>
  </si>
  <si>
    <t>28.12.2018. mailom BEZ SLUŽBENOG DOPISA; 
dostavljene korekcije: 18.4.52018./24.5.2018.</t>
  </si>
  <si>
    <t>18.06.2018.</t>
  </si>
  <si>
    <t>Nije upućeno na JASPERS</t>
  </si>
  <si>
    <t>29.6.2018.</t>
  </si>
  <si>
    <t>19.7.2018.</t>
  </si>
  <si>
    <t>Novska</t>
  </si>
  <si>
    <t>10.10.2017.</t>
  </si>
  <si>
    <t>31.10.2017. dostavljena mailom BEZ SLUŽBENOG DOPISA; 
10.4.2018.  dostavljene korekcije mailom BEZ SLUŽBENOG DOPISA/11.5.2018.  BEZ SLUŽBENOG DOPISA/28.5.2018.  BEZ SLUŽBENOG DOPISA</t>
  </si>
  <si>
    <t>18.12.2017.</t>
  </si>
  <si>
    <t>4.7.2018.</t>
  </si>
  <si>
    <t>26.7.2018.</t>
  </si>
  <si>
    <t>Umag-Savudrija-Novigrad</t>
  </si>
  <si>
    <t>2.10.2017. službena dostava dopisom(12.10.2017. dostavljena mailom);
dostavljene korekcije: 28.2.2018. /30.3.2018./30.04.2018./21.5.2018./25.5.2018.</t>
  </si>
  <si>
    <t>21.06.2018.</t>
  </si>
  <si>
    <t>21.9.2017.</t>
  </si>
  <si>
    <t>10.7.2018.</t>
  </si>
  <si>
    <t>Vrbovec</t>
  </si>
  <si>
    <t>16.1.2018.</t>
  </si>
  <si>
    <t>22.2.2018. službena dostava; 
dostavljene korekcije: 25.4.2018./11.5.2018./28.5.2018.</t>
  </si>
  <si>
    <t>12.2.2018.</t>
  </si>
  <si>
    <t>11.7.2018.</t>
  </si>
  <si>
    <t>Novi Vinodolski - Crikvenica</t>
  </si>
  <si>
    <t>dostavljena aplikacija na CD-u 24.11.2017.
6.12.2018.dostavljena mailom BEZ SLUŽBENOG DOPISA
dostavljene korekcije: 4.5.2018. (mailom bez službenog dopisa)/7.6.2018.</t>
  </si>
  <si>
    <t>13.7.2018.</t>
  </si>
  <si>
    <t>26.1.2018.</t>
  </si>
  <si>
    <t>Novalja</t>
  </si>
  <si>
    <t>19.9.2018.</t>
  </si>
  <si>
    <t>25.9.2018./25.10.2018./12.11.2018./19.11.2018.</t>
  </si>
  <si>
    <t>18.1.2019.</t>
  </si>
  <si>
    <t>draft ACN 30.11.2018./
konačni ACN 7.1.2019.</t>
  </si>
  <si>
    <t>06.02.2019.</t>
  </si>
  <si>
    <t>02.04.2019.</t>
  </si>
  <si>
    <t>Bjelovar</t>
  </si>
  <si>
    <t>18.7.2018.</t>
  </si>
  <si>
    <t>1.08.2018./19.10.2018./19.11.2018./7.12.2018./05.03.2019.</t>
  </si>
  <si>
    <t>15.2.2019.</t>
  </si>
  <si>
    <t>N/P</t>
  </si>
  <si>
    <t>8.3.2019.</t>
  </si>
  <si>
    <t>18.4.2019.</t>
  </si>
  <si>
    <t>Kutina</t>
  </si>
  <si>
    <t>3.07.2018.</t>
  </si>
  <si>
    <t>17.8.2018./19.11.2018./ 6.12.2018.</t>
  </si>
  <si>
    <t>28.01.2019.</t>
  </si>
  <si>
    <t>18.01.2019.</t>
  </si>
  <si>
    <t>13.02.2019.</t>
  </si>
  <si>
    <t>25.4.2019.</t>
  </si>
  <si>
    <t>Sinj</t>
  </si>
  <si>
    <t>30.11.2018.</t>
  </si>
  <si>
    <t>7.12.2018./25.2.2019./9.4.2019./29.05.2019.</t>
  </si>
  <si>
    <t>06.06.2019.</t>
  </si>
  <si>
    <t>draft ACN 22.4.2019./ACN 08.05.2019.</t>
  </si>
  <si>
    <t>07.06.2019.</t>
  </si>
  <si>
    <t>14.07.2019.</t>
  </si>
  <si>
    <t>Zadar</t>
  </si>
  <si>
    <t>23.10.2018.</t>
  </si>
  <si>
    <t>18.12.2018./29.05.2019./12.06.2019.</t>
  </si>
  <si>
    <t>28.6.2019.</t>
  </si>
  <si>
    <t>nije primjenjivo</t>
  </si>
  <si>
    <t>1.7.2019.</t>
  </si>
  <si>
    <t>13.7.2019.</t>
  </si>
  <si>
    <t>Trilj-Otok-Dicmo</t>
  </si>
  <si>
    <t>04.03.2019.</t>
  </si>
  <si>
    <t>18.3.2019./30.04.2019./23.05.2019</t>
  </si>
  <si>
    <t>draft ACN: 6.5.2019.
final ACN: 12.6.2019.</t>
  </si>
  <si>
    <t>Jelsa-Vrboska-Stari Grad</t>
  </si>
  <si>
    <t>30.01.2019.</t>
  </si>
  <si>
    <t>8.2.2019./24.6.2019./11.7.2019.</t>
  </si>
  <si>
    <t>16.7.2019.</t>
  </si>
  <si>
    <t>17.7.2019.</t>
  </si>
  <si>
    <t>19.7.2019.</t>
  </si>
  <si>
    <t>Metković</t>
  </si>
  <si>
    <t>22.5.2018.</t>
  </si>
  <si>
    <t>11.6.2018./novelirana 7.11.2018./13.12.2018./25.01.2019./22.2.2019.</t>
  </si>
  <si>
    <t>11.4.2019.</t>
  </si>
  <si>
    <t>draft ACN 13.03.2019.
final ACN 5.4.2019.</t>
  </si>
  <si>
    <t>25.7.2019.</t>
  </si>
  <si>
    <t>4.9.2019.</t>
  </si>
  <si>
    <t>Zaprešić</t>
  </si>
  <si>
    <t>30.5.2019.</t>
  </si>
  <si>
    <t>13.06.2019./ 25.7.2019./3.9.2019./10.9.2019.</t>
  </si>
  <si>
    <t>24.9.2019.</t>
  </si>
  <si>
    <t>Nije primjenjivo</t>
  </si>
  <si>
    <t>27.9.2019.</t>
  </si>
  <si>
    <t>4.10.2019.</t>
  </si>
  <si>
    <t>Ploče</t>
  </si>
  <si>
    <t>11.4.2018.</t>
  </si>
  <si>
    <t>8.11.2018./novelirana 15.11.2018. /12.1.2019./19.2.2019./4.3.2019/14.3.2019.</t>
  </si>
  <si>
    <t>8.4.2019.</t>
  </si>
  <si>
    <t>draft ACN 5.3.2019.
final ACN 18.3.2019.</t>
  </si>
  <si>
    <t>19.08.2019.</t>
  </si>
  <si>
    <t>3.10.2019.</t>
  </si>
  <si>
    <t>Kaštela-Trogir</t>
  </si>
  <si>
    <t>9.10.2018.</t>
  </si>
  <si>
    <t>6.11.2018./4.3.2019./
6.6.2019. /3.7.2019./18.7.2019.</t>
  </si>
  <si>
    <t>13.9.2019.</t>
  </si>
  <si>
    <t>draft ACN: 22.08.2019.
final ACN: 26.08.2019.</t>
  </si>
  <si>
    <t>26.9.2019.</t>
  </si>
  <si>
    <t>08.11.2019.</t>
  </si>
  <si>
    <t>Cres-Lošinj</t>
  </si>
  <si>
    <t>27.10.2018./28.11.2018./8.2.2019./14.6.2019.</t>
  </si>
  <si>
    <t>17.9.2019.</t>
  </si>
  <si>
    <t>draft ACN: 16.4.2019
finaldraft  ACN 5.8.2019.</t>
  </si>
  <si>
    <t>15.10.2019.</t>
  </si>
  <si>
    <t>25.11.2019.</t>
  </si>
  <si>
    <t>Beli Manastir</t>
  </si>
  <si>
    <t>2.11.2018./16.01.2019./12.7.2019./10.10.2019.</t>
  </si>
  <si>
    <t>18.11.2019.</t>
  </si>
  <si>
    <t>draft ACN: 11.06.2019
final ACN 18.10.2019.</t>
  </si>
  <si>
    <t>19.11.2019.</t>
  </si>
  <si>
    <t>Semeljci</t>
  </si>
  <si>
    <t>27.02.2019.</t>
  </si>
  <si>
    <t>4.4.2019./1.10.2019.</t>
  </si>
  <si>
    <t xml:space="preserve">FINAL ACN: 08.11.2019 </t>
  </si>
  <si>
    <t>20.11.2019.</t>
  </si>
  <si>
    <t>Našice</t>
  </si>
  <si>
    <t>27.05.2019./17.9.2019./
10.10.2019./18.10.2019./23.10.2019./24.10.2019.</t>
  </si>
  <si>
    <t>12.11.2019.</t>
  </si>
  <si>
    <t>Guidance Note 25.3.2019.
DRAFT ACN 3.7.2019.
FINAL ACN: 28.10.2019</t>
  </si>
  <si>
    <t>16.12.2019.</t>
  </si>
  <si>
    <t>Koprivnica</t>
  </si>
  <si>
    <t>5.10.2018.</t>
  </si>
  <si>
    <t>15.11.2018./10.7.2019./
24.9.2019./16.10.2019.</t>
  </si>
  <si>
    <t>26.11.2019.</t>
  </si>
  <si>
    <t xml:space="preserve">draft ACN: 12.6.2019.
FINAL ACN: 31.10.2019 </t>
  </si>
  <si>
    <t>28.11.2019.</t>
  </si>
  <si>
    <t>Đurđevac</t>
  </si>
  <si>
    <t>9.11.2018.</t>
  </si>
  <si>
    <t>15.3.2019./10.05.2019./23.05.2019</t>
  </si>
  <si>
    <t>23.7.2019.</t>
  </si>
  <si>
    <t>draft ACN 10.04.2019.
final ACN 19.7.2019.</t>
  </si>
  <si>
    <t>9.10.2019.</t>
  </si>
  <si>
    <t>13.1.2020.</t>
  </si>
  <si>
    <t>Split - Solin</t>
  </si>
  <si>
    <t>6.11.2018.</t>
  </si>
  <si>
    <t>7.11.2018. /24.1.2019./24.5.2019./
24.10.2019./15.11.2019.</t>
  </si>
  <si>
    <t>19.12.2019.</t>
  </si>
  <si>
    <t>draft ACN 24.1.2019.
final ACN 6.12.2019.</t>
  </si>
  <si>
    <t>31.12.2019.</t>
  </si>
  <si>
    <t>27.1.2020.</t>
  </si>
  <si>
    <t>Imotski</t>
  </si>
  <si>
    <t>8.11.2018./13.9.2019./12.11.2019.</t>
  </si>
  <si>
    <t>17.12.2019.</t>
  </si>
  <si>
    <t xml:space="preserve"> final ACN 04.12.2019.</t>
  </si>
  <si>
    <t>4.2.2020.</t>
  </si>
  <si>
    <t>Pitomača</t>
  </si>
  <si>
    <t>26.06.2019.</t>
  </si>
  <si>
    <t>2.8.2019./ 11.12.2019./23.12.2019./30.12.2019.</t>
  </si>
  <si>
    <t>28.2.2020.</t>
  </si>
  <si>
    <t>final ACN 11.2.2020.</t>
  </si>
  <si>
    <t>6.3.2020.</t>
  </si>
  <si>
    <t>15.4.2020.</t>
  </si>
  <si>
    <t>Slatina</t>
  </si>
  <si>
    <t>18.06.2019.</t>
  </si>
  <si>
    <t>24.7.2019./17.1.2020./
4.2.2020./(12.2.2020)</t>
  </si>
  <si>
    <t>DRAFT ACN 14.10.2019.</t>
  </si>
  <si>
    <t>19.3.2020.</t>
  </si>
  <si>
    <t>Križevci</t>
  </si>
  <si>
    <t>24.9.2018.</t>
  </si>
  <si>
    <t>25.10.2018./novelirana 19.11.2018./25.1.2019./27.11.2019./14.2.2020.</t>
  </si>
  <si>
    <t>Guidance Note 11.4.2019.
FINAL ACN 25.2.2020.</t>
  </si>
  <si>
    <t>26.3.2020.</t>
  </si>
  <si>
    <t>Karlovac-Duga Resa</t>
  </si>
  <si>
    <t>3.7.2019.</t>
  </si>
  <si>
    <t>23.08.2019./
5.5.2020./12.5.2020./18.5.2020.</t>
  </si>
  <si>
    <t>25.5.2020.</t>
  </si>
  <si>
    <t>28.5.2020.</t>
  </si>
  <si>
    <t>8.6.2020.</t>
  </si>
  <si>
    <t>Ivanić Grad</t>
  </si>
  <si>
    <t>7.12.2018./24.10.2019./10.3.2020.</t>
  </si>
  <si>
    <t>21.4.2020.</t>
  </si>
  <si>
    <t>28.4.2020.</t>
  </si>
  <si>
    <t>10.6.2020.</t>
  </si>
  <si>
    <t>Ivanec</t>
  </si>
  <si>
    <t>2.7.2019.</t>
  </si>
  <si>
    <t>17.9.2019./21.1.2020./
5.5.2020./8.5.2020. /3.6.2020. /25.6.2020.</t>
  </si>
  <si>
    <t>2.7.2020.</t>
  </si>
  <si>
    <t>Guidance Note 10.19 /9.4. 2020. Draft ACN (feb 2020)/
13.5.2020. Draft ACN
10.6.2020. ACN/
final ACN 30.6.2020.</t>
  </si>
  <si>
    <t>19.11.2020.</t>
  </si>
  <si>
    <t>14.12.2020.</t>
  </si>
  <si>
    <t>Dubrovnik</t>
  </si>
  <si>
    <t xml:space="preserve"> </t>
  </si>
  <si>
    <t>ODOBRENI PROJEKTI (donesena Odluka o financiranju)</t>
  </si>
  <si>
    <t>Projekti kojima je upućen poziv na dostavu aplikacijskog paketa dokumenata</t>
  </si>
  <si>
    <t>Očekivano odobrenje projekta
(potpis Ugovora o dodjeli bespovratnih sredstava)</t>
  </si>
  <si>
    <t>Pula sjever</t>
  </si>
  <si>
    <t>9.7.2019.</t>
  </si>
  <si>
    <t>18.7.2019./
5.10.2020./12.11.2020./19.11.2020</t>
  </si>
  <si>
    <t>draft ACN 14.2.2020./
draft Final ACN 1.12.2020./7.12.2020.</t>
  </si>
  <si>
    <t>Plitvička jezera</t>
  </si>
  <si>
    <t>29.11.2019.</t>
  </si>
  <si>
    <t>Guidance note 11.3.2020. / Draft ACN 20.7.2020.</t>
  </si>
  <si>
    <t xml:space="preserve">Podrška reorganizaciji vodnokomunalnog sektora  </t>
  </si>
  <si>
    <t>Biograd na Moru</t>
  </si>
  <si>
    <t>22.9.2020.</t>
  </si>
  <si>
    <t>12.11.2020.</t>
  </si>
  <si>
    <t>Guidance Note  5.10.2018.</t>
  </si>
  <si>
    <t>Slavonski Brod 2</t>
  </si>
  <si>
    <t>22.10.2020.</t>
  </si>
  <si>
    <t>draft ACN 15.3.2020.</t>
  </si>
  <si>
    <t>Pipeline 3</t>
  </si>
  <si>
    <t>U tijeku je priprema poziva na dostavu prijedloga projekata. Nije definirano iz kojeg programa će se financirati</t>
  </si>
  <si>
    <t>U tijeku je priprema dokumentacije poziva na dostavu projektnih prijedloga. Nije definirano iz kojeg programa će se financirati.</t>
  </si>
  <si>
    <t xml:space="preserve">PROJEKTI S POVEĆANJEM VRIJEDNOSTI </t>
  </si>
  <si>
    <t>Raspoloživo za ukupno povećanje vrijednosti</t>
  </si>
  <si>
    <t>UGOVORENA VRIJEDNOST</t>
  </si>
  <si>
    <t>PROCJENJENA/UGOVORENA VRJEDNOST S POVEĆANJEM</t>
  </si>
  <si>
    <t>RAZLIKA UGOVORENO/ POVEĆANJE</t>
  </si>
  <si>
    <t xml:space="preserve">IZMJENA Odluke o financiranju
</t>
  </si>
  <si>
    <t>DODATAK Ugovoru o dodjeli bespovratnih sredstava  (datum potpisa)</t>
  </si>
  <si>
    <t>Zlatar-Zabok</t>
  </si>
  <si>
    <t>3.12.2020.</t>
  </si>
  <si>
    <t>5.5.2020.</t>
  </si>
  <si>
    <t>Odluka o izmjeni i dopuni Odluke o financiranju donesena je 5.5.2020., Ugovor o dodjeli bespovratnh sredstava potpisan 10.6.2020.</t>
  </si>
  <si>
    <t>22.12.2020.</t>
  </si>
  <si>
    <t>25.9.2020. Korisniku izdana suglasnost o budućem osiguranju sredstava</t>
  </si>
  <si>
    <t>Projekti za koje je izvršen terenski obilazak i kojima je moguće upućen poziv u slučaju odobrenja dodatnog overbookinga od strane UT-a</t>
  </si>
  <si>
    <t>Očekivano upućivanje poziva na dostavu aplikacijskog paketa dokumenata</t>
  </si>
  <si>
    <t>Očekivano službeno pokretanje postupka dodjele (odobrenje dokumentacije postupka dodjele od strane UT)</t>
  </si>
  <si>
    <t>Očekivano odobrenje projekta</t>
  </si>
  <si>
    <t>Sušine- Đurđenovac</t>
  </si>
  <si>
    <t xml:space="preserve">terenska posjeta 13.12.2019.
draft Guidance Note 7.5.2020. </t>
  </si>
  <si>
    <t>Preko-Kali</t>
  </si>
  <si>
    <t>terenska posjeta 4.6.2020.</t>
  </si>
  <si>
    <t>Zagreb</t>
  </si>
  <si>
    <t>Vir</t>
  </si>
  <si>
    <t>terenska (online sastanak) 29.12.2020.</t>
  </si>
  <si>
    <t>Ludbreg</t>
  </si>
  <si>
    <t>terenska (online sastanak) 12.1.2021.</t>
  </si>
  <si>
    <t>Krapina</t>
  </si>
  <si>
    <t xml:space="preserve">Projekti u visokom stupnju spremnosti za koje se planira terenski obilazak </t>
  </si>
  <si>
    <t>Status projekta</t>
  </si>
  <si>
    <t>Datum planiranog terenskog obilaska</t>
  </si>
  <si>
    <t>Ukupno prihvatljivi troškovi
HRK</t>
  </si>
  <si>
    <t>Ukupno EU sufinanciranje
HRK</t>
  </si>
  <si>
    <t>Kutjevo-Velika</t>
  </si>
  <si>
    <t>Pirovac-Tisno-Jezera</t>
  </si>
  <si>
    <t>Rogoznica</t>
  </si>
  <si>
    <t xml:space="preserve"> Špišić Bukovica - Suhopolje Gradina </t>
  </si>
  <si>
    <t>Otočac</t>
  </si>
  <si>
    <t xml:space="preserve">OSTALI PROJEKTI U PRIPERMI S ROKOM USKLAĐENJA S DOKOV DO KRAJA 2018. </t>
  </si>
  <si>
    <t>Pula centar</t>
  </si>
  <si>
    <t>Opatija – Lovran</t>
  </si>
  <si>
    <t>Samobor</t>
  </si>
  <si>
    <t>Potrebno izraditi Studiju izvodljivosti i CBA analizu. Održani sastanci sa predstavnicima JIVU i JLS na temu koncepcijskog rješenja odvodnje i pročišćavanja otpadnih voda aglomeracije Samobor.</t>
  </si>
  <si>
    <t>Daruvar</t>
  </si>
  <si>
    <t>PROJEKTI 5b1</t>
  </si>
  <si>
    <t>ukupno inicijalna alokacija 5b1</t>
  </si>
  <si>
    <t>alokacija bez PF rezerve</t>
  </si>
  <si>
    <t>Umanjena alokacija rujan 2020.</t>
  </si>
  <si>
    <t>% OD UMANJENE ALOKACIJEE
 (EU SREDSTVA)</t>
  </si>
  <si>
    <t>% OD UMANJENE ALOKACIJE 
(EU SREDSTVA)
KUMULATIV</t>
  </si>
  <si>
    <t xml:space="preserve">PROJEKTI KOJIMA JE UPUĆEN POZIV NA DOSTAVU APLIKACIJSKOG PAKETA DOKUMENATA  </t>
  </si>
  <si>
    <t>PROJEKTI U VISOKOM STUPNJU SPREMNOSTI</t>
  </si>
  <si>
    <t>Ukupno plaćeno EU
HRK</t>
  </si>
  <si>
    <t>12.9.2017.</t>
  </si>
  <si>
    <t>19.9.2017.</t>
  </si>
  <si>
    <t>16.10.2017.</t>
  </si>
  <si>
    <t>PRIPREMA STUDIJSKE DOKUMENTACIJE</t>
  </si>
  <si>
    <t>12.6.2017.</t>
  </si>
  <si>
    <t>8.8.2017.</t>
  </si>
  <si>
    <t>20.10.2017.</t>
  </si>
  <si>
    <t>30.10.2017.</t>
  </si>
  <si>
    <t>8.2.2018.</t>
  </si>
  <si>
    <t>OPREMANJE I OSPOSOBLJAVANJE INTERVENCIJSKIH POSTROJBI DUZS</t>
  </si>
  <si>
    <t>20.6.2017.</t>
  </si>
  <si>
    <t>06.09.2017.</t>
  </si>
  <si>
    <t>NA PUTU DO SMANJENJA RIZIKA OD KATASTROFA</t>
  </si>
  <si>
    <t>23.3.2018.</t>
  </si>
  <si>
    <t>27.7.2018.</t>
  </si>
  <si>
    <t>10.9.2018.</t>
  </si>
  <si>
    <t>MODERNIZACIJA RADIOKOMUNIKACIJSKE OPREME SUSTAVA CIVILNE ZAŠTITE</t>
  </si>
  <si>
    <t>2.3.2018.</t>
  </si>
  <si>
    <t>14.9.2018.</t>
  </si>
  <si>
    <t>MODERNIZACIJA VOZILA VATROGASNIH POSTROJBI RH</t>
  </si>
  <si>
    <t>8.5.2018.</t>
  </si>
  <si>
    <t>28.9.2018.</t>
  </si>
  <si>
    <t>10.10.2018.</t>
  </si>
  <si>
    <t>MODERNIZACIJA LIJEVOOBALNIH SAVSKIH NASIPA OD RAČINOVACA DO NOVE GRADIŠKE</t>
  </si>
  <si>
    <t>28.11.2018.</t>
  </si>
  <si>
    <t>09.07.2019.</t>
  </si>
  <si>
    <t>22.07.2019.</t>
  </si>
  <si>
    <t>29.7.2019.</t>
  </si>
  <si>
    <t>JAČANJE KAPACITETA HGSS-a - Sigurna.HR</t>
  </si>
  <si>
    <t>29.11.2018.</t>
  </si>
  <si>
    <t>14.12.2018.</t>
  </si>
  <si>
    <t>30.7.2019.</t>
  </si>
  <si>
    <t>02.08.2019.</t>
  </si>
  <si>
    <t>06.09.2019.</t>
  </si>
  <si>
    <t>UNAPRJEĐENJE NEGRAĐEVINSKIH MJERA UPRAVLJANJA RIZICIMA OD POPLAVA</t>
  </si>
  <si>
    <t>19.11.2018.</t>
  </si>
  <si>
    <t>11.1.2019.</t>
  </si>
  <si>
    <t>30.10.2019.</t>
  </si>
  <si>
    <t>30.09.2019.</t>
  </si>
  <si>
    <t>8.11.2019.</t>
  </si>
  <si>
    <t>ZAŠTITA OD POPLAVA GRADA OGULINA</t>
  </si>
  <si>
    <t>27.11.2018.</t>
  </si>
  <si>
    <t>28.12.2018.</t>
  </si>
  <si>
    <t>07.04.2020.</t>
  </si>
  <si>
    <t>08.05.2020.</t>
  </si>
  <si>
    <t>12.3.2018.</t>
  </si>
  <si>
    <t>21.3.2018.</t>
  </si>
  <si>
    <t>24.3.2020.</t>
  </si>
  <si>
    <t>11.5.2020.</t>
  </si>
  <si>
    <t>02.06.2020.</t>
  </si>
  <si>
    <t>IMPLEMENTACIJA SUSTAVA ZA RANO UPOZORAVANJE I UPRAVLJANJE KRIZAMA (SRUUK)</t>
  </si>
  <si>
    <t>11.09.2020.</t>
  </si>
  <si>
    <t>02.10.2020.</t>
  </si>
  <si>
    <t>7.10.2020.</t>
  </si>
  <si>
    <t>17.11.2020.</t>
  </si>
  <si>
    <t>HELIKOPTERSKA POTPORA SUSTAVU CIVILNE ZAŠTITE</t>
  </si>
  <si>
    <t>PROJEKTI KOJIMA JE UPUĆEN POZIV NA DOSTAVU APLIKACIJSKOG PAKETA DOKUMENATA</t>
  </si>
  <si>
    <t>1.</t>
  </si>
  <si>
    <t>IZRADA PRIPREMNE DOKUMENTACIJE ZA PROJEKT "JAČANJE KAPACITETA REPUBLIKE HRVATSKE ZA UTVRĐIVANJE SEZMIČKOG HAZARDA I RIZIKA"</t>
  </si>
  <si>
    <t>27.4.2020.</t>
  </si>
  <si>
    <t>22.05.2020.</t>
  </si>
  <si>
    <t>I.kvartal 2021.</t>
  </si>
  <si>
    <t>SUSTAV ZAŠTITE OD POPLAVA KARLOVAČKO-SISAČKOG PODRUČJA</t>
  </si>
  <si>
    <t>21.09.2020.</t>
  </si>
  <si>
    <t xml:space="preserve">Projekti u visokom stupnju spremnosti </t>
  </si>
  <si>
    <t>PROJEKTI KOJIMA NIJE UPUĆEN POZIV NA DOSTAVU APLIKACIJSKOG PAKETA DOKUMENATA</t>
  </si>
  <si>
    <t>OSTALI VODNO-KOMUNALNI PROJEKTI U PRIPREMI KOJI ĆE SE FINANCIRATI SREDSTVIMA EU</t>
  </si>
  <si>
    <t>Specifični cilj</t>
  </si>
  <si>
    <t>ŽUPANIJA</t>
  </si>
  <si>
    <t>Rbr.</t>
  </si>
  <si>
    <t>Ukupna vrijednost  
(s PDV-om)
kn</t>
  </si>
  <si>
    <t>Ukupna vrijednost prihvatljivih troškova  
kn</t>
  </si>
  <si>
    <t>EFRR/KF
kn</t>
  </si>
  <si>
    <t xml:space="preserve">Datum početka </t>
  </si>
  <si>
    <t>Datum završetka</t>
  </si>
  <si>
    <t>Stanje Spremnosti</t>
  </si>
  <si>
    <t>(planirano)</t>
  </si>
  <si>
    <t>Varaždinska županija</t>
  </si>
  <si>
    <t>Priprema projektne dokumentacije i aplikacijskog paketa za sufinanciranje od strane EU za aglomeraciju Novi Marof</t>
  </si>
  <si>
    <t>VARKOM d.d.</t>
  </si>
  <si>
    <t>12/2021</t>
  </si>
  <si>
    <t xml:space="preserve">U pripremi </t>
  </si>
  <si>
    <t>Poboljšanje vodnokomunalne infrastrukture klastera aglomeracija Veliki Bukovec i Sveti Petar Ludbreški</t>
  </si>
  <si>
    <t>početak pripreme</t>
  </si>
  <si>
    <t>Poboljšanja vodno-komunalne infrastrukture aglomeracije Lepoglava</t>
  </si>
  <si>
    <t>Međimurska županija</t>
  </si>
  <si>
    <t>Sustav odvodnje i pročišćavanje otpadnih voda aglomeracije Podbrest</t>
  </si>
  <si>
    <t>MEĐIMURSKE VODE d.o.o.</t>
  </si>
  <si>
    <t>12/2020</t>
  </si>
  <si>
    <t>Sustav odvodnje i pročišćavanje otpadnih voda aglomeracije Donji Kraljevec-Goričan</t>
  </si>
  <si>
    <t>Sustav odvodnje i pročišćavanje otpadnih voda aglomeracije Podturen</t>
  </si>
  <si>
    <t>12/2023</t>
  </si>
  <si>
    <t>Zagrebačka županija</t>
  </si>
  <si>
    <t>Klinča Sela</t>
  </si>
  <si>
    <t>Jakovlje</t>
  </si>
  <si>
    <t xml:space="preserve">EU projekt Sveti Ivan Zelina (s općinom Bedenica) i aglomeracija Brckovljani </t>
  </si>
  <si>
    <t>EU Velika Gorica – razvoj vodoopskrbe</t>
  </si>
  <si>
    <t>Mala Buna</t>
  </si>
  <si>
    <t>Krapinsko - zagorska županija</t>
  </si>
  <si>
    <t>Sustav prikupljanja i pročišćavanja otpadnih voda - Krapinske Toplice</t>
  </si>
  <si>
    <t>ZAGORSKI VODOVOD d.d.</t>
  </si>
  <si>
    <t>visok stupanj spremnosti</t>
  </si>
  <si>
    <t>Sustav prikupljanja i pročišćavanja otpadnih voda - Pregrada</t>
  </si>
  <si>
    <t>Aglomeracija Hum na Sutli</t>
  </si>
  <si>
    <t>Karlovačka županija</t>
  </si>
  <si>
    <t>Sustav prikupljanja i pročišćavanja otpadnih voda - Ogulin</t>
  </si>
  <si>
    <t>Poboljšanje vodno-komunalne infrastrukture na području Aglomeracije Slunj</t>
  </si>
  <si>
    <t>Sisačko - moslavačka županija</t>
  </si>
  <si>
    <t>Sustav prikupljanja i pročišćavanja otpadnih voda - Popovača</t>
  </si>
  <si>
    <t>Moslavina d.o.o. Kutina</t>
  </si>
  <si>
    <t>03/2018</t>
  </si>
  <si>
    <t>Sustav prikupljanja i pročišćavanja otpadnih voda - Lekenik</t>
  </si>
  <si>
    <t>Privreda d.o.o. Petrinja</t>
  </si>
  <si>
    <t>03/2019</t>
  </si>
  <si>
    <t xml:space="preserve">u pripremi </t>
  </si>
  <si>
    <t>Poboljšanje vodno – komunalne infrastrukture na području aglomeracije Sisak - Sisak 2</t>
  </si>
  <si>
    <t>Poboljšanje vodno-komunalne infrastrukture na području Aglomeracije Glina</t>
  </si>
  <si>
    <t>Virovitičko - podravska</t>
  </si>
  <si>
    <t>Projekt poboljšanja vodnokomunalne infrastrukture na području aglomeracija Orahovica i Čačinci</t>
  </si>
  <si>
    <t>Bjelovarsko-bilogorska županija</t>
  </si>
  <si>
    <t>Poboljšanje vodno – komunalne infrastrukture aglomeracije Garešnica i Hercegovac</t>
  </si>
  <si>
    <t>Voda Garešnica d.o.o.</t>
  </si>
  <si>
    <t>Poboljšanje vodno-komunalne infrastrukture na uslužnom području Komunalija vodovod d.o.o. Čazma</t>
  </si>
  <si>
    <t>nepoznato</t>
  </si>
  <si>
    <t xml:space="preserve">Poboljšanje vodno-komunalne infrastrukture aglomeracije Bjelovar (Gudovac i Rovišće) II. faza </t>
  </si>
  <si>
    <t>Brodsko - posavska županija</t>
  </si>
  <si>
    <t>Slavča d.o.o. Nova Gradiška</t>
  </si>
  <si>
    <t>12/2018</t>
  </si>
  <si>
    <t>Razvoj vodno-komunalne infrastrukture
na uslužnom području Vodovoda d.o.o. 
Slavonski Brod 
(EU projekt Slavonski Brod 3)</t>
  </si>
  <si>
    <t>Osječko - baranjska županija</t>
  </si>
  <si>
    <t>Poboljšanje i razvoj vodno-komunalne infrastrukture na području aglomeracija Punitovci, Gorjani, Široko Polje</t>
  </si>
  <si>
    <t>Razvoj vodno komunalne infrastrukture na uslužnom području  Miholjačkog vodovoda d.o.o. Donji Miholjac</t>
  </si>
  <si>
    <t>Poboljšanje vodnokomunalne infrastukture na području aglomeracija Vladislavci-Vuka, Ernestiovo i Dalj (Erdut) (Osijek)</t>
  </si>
  <si>
    <t>Vukovarsko - srijemska županija</t>
  </si>
  <si>
    <t>Razvoj sustava odvodnje i izgradnja uređaja za pročišćavanje otpadnih voda aglomeracije Bošnjaci i aglomeracije Gradište</t>
  </si>
  <si>
    <t>Komunalac d.o.o. Županja</t>
  </si>
  <si>
    <t>Sustav prikupljanja i pročišćavanja otpadnih voda - Babina Greda i Vođinci</t>
  </si>
  <si>
    <t>Razvoj vodno-komunalne infrastrukture na dijelu uslužnog područja Vinkovci- sjever, Vinkovački vodovod i kanalizacija d.o.o.</t>
  </si>
  <si>
    <t xml:space="preserve">početak pripreme </t>
  </si>
  <si>
    <t>Poboljšanje vodno-komunalne infrastrukture na području aglomeracije Gunja-Drenovci</t>
  </si>
  <si>
    <t>Poboljšanje i razvoj vodno-komunalne
 infrastrukture na uslužnom području
Komunalije d.o.o. Ilok</t>
  </si>
  <si>
    <t>Vinkovački VIK d.o.o.</t>
  </si>
  <si>
    <t>03/2020</t>
  </si>
  <si>
    <t>Primorsko - goranska županija</t>
  </si>
  <si>
    <t>Sustav prikupljanja i pročišćavanja otpadnih voda - Jadranovo</t>
  </si>
  <si>
    <t>Murvica d.o.o.</t>
  </si>
  <si>
    <t>nije definirano</t>
  </si>
  <si>
    <t>Sustav prikupljanja i pročišćavanja otpadnih voda - Klenovica - Smokvica - Općina Vinodolska</t>
  </si>
  <si>
    <t>KTD Žrnovnica d.o.o.</t>
  </si>
  <si>
    <t>Sustav prikupljanja i pročišćavanja otpadnih voda - Kraljevica</t>
  </si>
  <si>
    <t xml:space="preserve">KD VODOVOD I KANALIZACIJA d.o.o.  Rijeka </t>
  </si>
  <si>
    <t>Sustav prikupljanja i pročišćavanja otpadnih voda - Rab-S.Draga-Lopar</t>
  </si>
  <si>
    <t>Vrelo d.o.o. Rab</t>
  </si>
  <si>
    <t>06/2018</t>
  </si>
  <si>
    <t>Sustav prikupljanja i pročišćavanja otpadnih voda - Bakar-Kostrena</t>
  </si>
  <si>
    <t>09/2018</t>
  </si>
  <si>
    <t>Istarska županija</t>
  </si>
  <si>
    <t>Sustav prikupljanja i pročišćavanja otpadnih voda -Medulin</t>
  </si>
  <si>
    <t>Albanež d.o.o.</t>
  </si>
  <si>
    <t>Sustav prikupljanja i pročišćavanja otpadnih voda - Labin</t>
  </si>
  <si>
    <t>Vodovod Labin d.o.o.</t>
  </si>
  <si>
    <t>Sustav prikupljanja i pročišćavanja otpadnih voda - Buzet</t>
  </si>
  <si>
    <t>IVU Park odvodnja d.o.o. Buzet</t>
  </si>
  <si>
    <t>Projekt poboljšanja vodnokomunalne infrastrukture za aglomeracije na području Aglomeracije Buje i šireg područja Bujštine</t>
  </si>
  <si>
    <t>Poboljšanje sustava vodoopskrbe, odvodnje i pročišćavanja na području aglomeracije EU PAZIN</t>
  </si>
  <si>
    <t>Ličko - senjska županija</t>
  </si>
  <si>
    <t>Sustav prikupljanja i pročišćavanja otpadnih voda - Gospić</t>
  </si>
  <si>
    <t>Usluga d.o.o. Gospić</t>
  </si>
  <si>
    <t>Zadarska županija</t>
  </si>
  <si>
    <t>Pašman-Tkon</t>
  </si>
  <si>
    <t>Komunalac d.o.o. Biograd</t>
  </si>
  <si>
    <t>Sustav prikupljanja i pročišćavanja otpadnih voda - Bibinje-Sukošan</t>
  </si>
  <si>
    <t>Odvodnja Bibinje-Sukošan d.o.o.</t>
  </si>
  <si>
    <t>06/2019</t>
  </si>
  <si>
    <t>Pag, Povljana i Mandre</t>
  </si>
  <si>
    <t>Ugljan</t>
  </si>
  <si>
    <t>Razvoj sustava vodoopskrbe Vodovoda Zadar d.o.o.</t>
  </si>
  <si>
    <t>Šibensko - kninska županija</t>
  </si>
  <si>
    <t>Sustav prikupljanja i pročišćavanja otpadnih voda - Vodice-Tribunj 2</t>
  </si>
  <si>
    <t>Splitsko - dalmatinska županija</t>
  </si>
  <si>
    <t>Sustav prikupljanja i pročišćavanja otpadnih voda  - Dugi Rat</t>
  </si>
  <si>
    <t>Vodoovod d.o.o. Omiš</t>
  </si>
  <si>
    <t>Sustav prikupljanja i pročišćavanja otpadnih voda - Omiš</t>
  </si>
  <si>
    <t>Sustav prikupljanja i pročišćavanja otpadnih voda  - Makarska</t>
  </si>
  <si>
    <t>Vodovood d.o.o. Makarska</t>
  </si>
  <si>
    <t>Makarsko primorje (Brela, Baška voda - Promajna, Krvavica, Tučepi i Podgora</t>
  </si>
  <si>
    <t>Dubrovačko - neretvanska županija</t>
  </si>
  <si>
    <t>Sustav prikupljanja i pročišćavanja otpadnih voda - Blato-Smokvica</t>
  </si>
  <si>
    <t>Vodovod d.o.o. Blato</t>
  </si>
  <si>
    <t>Izgradnja vodnokomunalne infrastrukture aglomeracije Vela Luka</t>
  </si>
  <si>
    <t>Razvoj vodnokomunalne infrastrukture Slano</t>
  </si>
  <si>
    <t>SEKTOR ZA PROJEKTE IZ PODRUČJA VODNOGA GOSPODARSTVA</t>
  </si>
  <si>
    <t xml:space="preserve"> K784038 OP 2014.-2020. "KONKURENTNOST I KOHEZIJA" - PRIORITETI 5 I 6</t>
  </si>
  <si>
    <t>IZVRŠENJE</t>
  </si>
  <si>
    <t>Preostalo</t>
  </si>
  <si>
    <t>IZVOR 12</t>
  </si>
  <si>
    <t>IZVOR 562</t>
  </si>
  <si>
    <t>IZVOR 563</t>
  </si>
  <si>
    <t>IZVOR 11</t>
  </si>
  <si>
    <t>PROJEKTI 2021.</t>
  </si>
  <si>
    <t>PRORAČUN 2021.</t>
  </si>
  <si>
    <t>% PRORAČUNA</t>
  </si>
  <si>
    <t>TEHNIČKA POMOĆ 2021.</t>
  </si>
  <si>
    <t>K 784039 OPZO 2007.-2013. (SEKTOR ZA PROJEKTE IZ PODRUČJA VODNOGA GOSPODARSTVA)</t>
  </si>
  <si>
    <t>OP 2007.-2013. "ZAŠTITA OKOLIŠA"</t>
  </si>
  <si>
    <t>2017.</t>
  </si>
  <si>
    <t>PRORAČUN</t>
  </si>
  <si>
    <t>REBALANS</t>
  </si>
  <si>
    <t>IZVRŠENJE 29.12.2017</t>
  </si>
  <si>
    <t>%</t>
  </si>
  <si>
    <t>% rebalansa</t>
  </si>
  <si>
    <t>2021. IZVOR 11</t>
  </si>
  <si>
    <t>K9049 PROJEKT VODNO - KOMUNALNE INFRASTRUKTURE - ŠVICARSKO - HRVATSKI PROGRAM SURADNJE</t>
  </si>
  <si>
    <t>2021. IZVOR 552</t>
  </si>
  <si>
    <t>13.1.2021.</t>
  </si>
  <si>
    <t>otvoren</t>
  </si>
  <si>
    <t>Pripremljen je paket dokumentacije PDP-a i 15.12.2020. upućen u  UT na usuglašavnje. 23.12.2020. zaprimljeni su komentari UT-a na PDP. Pripremljeni su odgovori i ispravak dokumentacije te su  31.12.2020. upućeni u UT. 
12.1.2021. UT  je dostavio dodatna pitanja; 14.1.2021. je upućen odgovor te je s time usuglašena dokumentacija PDP-a.
Uz komentare UT na PDP zaprimljene su i sljedeće napomene: 
NApomena 1: Slijedom nedavnog smanjenja alokacije za IP 6ii, tražimo suglasnost, odnosno uputu unutar UT-a za odobrenje ovog Poziva imajući u vidu razinu preugovorenosti. Šaljemo komentare zbog operativnosti, ali nećemo odobriti PD/PDP bez suglasni/upute čelnika UT-a.
Napomena 2: Potaknuti problemom nastalim na projektu Dubrovnik, obavještavamo vas da mi ne možemo osigurati odobrenje, odnosno sklapanje Ugovora za projekte koji izlaze izvan 2023. Već smo nekoliko puta se obraćali s tim pitanjem i prijedlogom rješenja unutar UT-a, no takva mogućnost i dalje izrijekom nije prepoznata. Iako to smatramo zakonski utemeljenim, opravdanim, logičnim i bitnim – ne želimo više na svoju ruku tražiti i predlagati da se omogući priprema i provedba takvih poziva/projekata bez da iza tog stoje sustavna rješenja. Stoga vas molimo da se za taj dio odnosno problem u ovom projektu obratite čelništvu UT-a te dijelu koji se bavi uspostavom i radom sustava.
Čeka se odobrenje PDP-a od strane UT-a kako si pokrenuo daljnji postupak odobrenja projekta.</t>
  </si>
  <si>
    <t xml:space="preserve">Poziv na dostavu aplikacijskog paketa dokumenata upućen je prijavitelju 22.9.2020.
Projektna prijava dostavljena  je 12.11.2020. Projektna prijava je pregledana te su 12.1.2021. prijavitelju upućeni zajednički komentari PT1 i PT2. </t>
  </si>
  <si>
    <t>17.12.2020.</t>
  </si>
  <si>
    <t>Odluka o izmjeni i dopuni Odluke o financiranju donesena je 3.12.2020. 3. dodatak ugovoru o dodjeli bespovratnih sredstava i 1. dodatak ugovoru o sufinanciranju potpisani 17.12.2020.</t>
  </si>
  <si>
    <t>Karlovac - Duga Resa</t>
  </si>
  <si>
    <t>19.1.2021. zaprimljen zahtjev Korisnika za osiguranjem budućih sredstava, čeka se provjera i potvrda HV kako bi se nastavila procedura izdavanja suglasnosti od strane MINGOR-a</t>
  </si>
  <si>
    <t xml:space="preserve">terenska (online sastanak) 7.12.2020., 14.12.2021. održan novi sastanak na inicijativu prijavitelja gdje su pojašnjena dodatna pitanja </t>
  </si>
  <si>
    <t>** Potpisana 93 ugovora, raskinuta 2 ugovora (Grad Popovača i Općina Maruševec).</t>
  </si>
  <si>
    <t>Grad Popovača</t>
  </si>
  <si>
    <t>26.11.19.</t>
  </si>
  <si>
    <t>Općina Maruševec</t>
  </si>
  <si>
    <t>20.10.20.</t>
  </si>
  <si>
    <t>povrat izvršen</t>
  </si>
  <si>
    <t>Općina Sveta Nedelja</t>
  </si>
  <si>
    <t>26.11.20.</t>
  </si>
  <si>
    <t>ZCGO d.o.o. Zagreb</t>
  </si>
  <si>
    <t>Komunalac Petrinja d.o.o. Petrinja</t>
  </si>
  <si>
    <t>Škovacin d.o.o. Rogoznica</t>
  </si>
  <si>
    <t>KTD Fužine d.o.o. Fužine</t>
  </si>
  <si>
    <t>Slatina Kom d.o.o. Slatina</t>
  </si>
  <si>
    <t>Bucavac d.o.o. Primošten</t>
  </si>
  <si>
    <t>Općina Čaglin</t>
  </si>
  <si>
    <t>Junakovci d.o.o. Semeljci</t>
  </si>
  <si>
    <t>Čistoća i održavanje Kolan d.o.o. Kolan</t>
  </si>
  <si>
    <t>Lipkom Servisi d.o.o. Lipovljani</t>
  </si>
  <si>
    <t>Čistoća d.o.o. Karlovac</t>
  </si>
  <si>
    <t>Čistoća Metković d.o.o. Metković</t>
  </si>
  <si>
    <t>Dvorkom d.o.o. Dvor</t>
  </si>
  <si>
    <t>VRHKOM d.o.o.</t>
  </si>
  <si>
    <t>* Potpisano 144 ugovora, raskinut 1 ugovor (Općina Sv. Nedelja), a 1 ugovor prebačen na nacionalno financiranje (Općina Kloštar Podravski).</t>
  </si>
  <si>
    <t>RESPEKT d.o.o. Metković</t>
  </si>
  <si>
    <t>Ježinac d.o.o. Tisno</t>
  </si>
  <si>
    <t>Gradina Vis d.o.o. Vis</t>
  </si>
  <si>
    <t>Trogir Holding d.o.o. Trogir</t>
  </si>
  <si>
    <t>Marinski komunalac d.o.o. Marina</t>
  </si>
  <si>
    <t>Gradska čistoća i usluge d.o.o. Vrgorac</t>
  </si>
  <si>
    <t>Makarski komunalac d.o.o. Makarska</t>
  </si>
  <si>
    <t>Park d.o.o. Buzet</t>
  </si>
  <si>
    <t>Eko - Dunav d.o.o. Borovo</t>
  </si>
  <si>
    <t>Komunalne djelatnosti d.o.o. Vela Luka</t>
  </si>
  <si>
    <t>20.12.2019. / 8.5.2020. /15.7.2020./ 6.11.2020. /11.12.2020./28.1.2021.</t>
  </si>
  <si>
    <t>4.2.2021.</t>
  </si>
  <si>
    <t>Odluka o izmjeni i dopuni Odluke o financiranju donesena je 22.12.2020. 14.2.2021. potpisan dodatak UODBS</t>
  </si>
  <si>
    <t>draft ACN 30.11.2020. draft ACN 27.1.2021.</t>
  </si>
  <si>
    <t>IZVOR 12 (6ii1, 6ii2)</t>
  </si>
  <si>
    <t>IZVOR 562 (6ii1, 6ii2)</t>
  </si>
  <si>
    <t>IZVOR 563 (5b1)</t>
  </si>
  <si>
    <t>Stupac Ugovoreno odnosi se na vrijednost Sporazuma o financiranju, potpisanih s financijskim posrednicima</t>
  </si>
  <si>
    <t xml:space="preserve">Prijave se zaprimaju od 31. siječnja 2020. godine u 11:00 sati. 
31.01.2020. - objavljena 1. izmjena Poziva, 13.02.2020. novi datum početka zaprimanja prijava je pomaknut s 14. veljače 2020. godine u 11:00. na 17. veljače na zahtjev UT-a.
30.06.2020. - Odlukom o povećanju alokacije Poziva uvećana je ukupna alokacija Poziva i sada iznosi  989.465.332,23 kn. 
11.12.2020. - Odlukom o povećanju alokacije Poziva uvećana je ukupna alokacija Poziva i sada iznosi  1.024.544.626,44 kn. 
4 OoF stavljene izvan snage na zahtjev prijavitelja. 
</t>
  </si>
  <si>
    <t>Projektna prijava je pregledana te su komentari upućeni prijavitelju 17.12.2020.
28.1.2021. dostavljena je korigirana projektna prijava, međutim utvrđeno je da nedostaju određeni dokumenti te je zatražena dopuna. 2.2.2021. dostavljen je dio samo dio nedostajućih dokumenata, ali još nedostaju potrebne Izjave. U tijeku je pregled prijave.</t>
  </si>
  <si>
    <t>Katić Bau d.o.o. Lovreć</t>
  </si>
  <si>
    <t>Gunjanska čistoća d.o.o. Gunja</t>
  </si>
  <si>
    <t>KTD Bilan d.o.o. Orebić</t>
  </si>
  <si>
    <t>Lukom d.o.o. Ludbreg</t>
  </si>
  <si>
    <t>KD Grada Imotskog d.o.o. Imotski</t>
  </si>
  <si>
    <t>KD Lipa d.o.o. Slunj</t>
  </si>
  <si>
    <t>Med Eko Servis d.o.o. Medulin</t>
  </si>
  <si>
    <t>Komunalne usluge Đurđevac d.o.o. Đurđevac</t>
  </si>
  <si>
    <t>Prijave su se zaprimale od 15. srpnja 2019. godine u 11:00 sati do 15. studenog 2019 u 11:00 sati. 
 8 OoF stavljeno izvan snage na zahtjev prijavitelja.</t>
  </si>
  <si>
    <t xml:space="preserve">Prijave se zaprimaju od 30. ožujka 2020. godine u 11:00 sati.
19. ožujka 2020._Objava prve izmjene Poziva “Integrator” 
Uvažavajući izmjenu okolnosti nastalih uslijed širenja koronavirusa i bolesti COVID-19, MGPO objavilo je prvu izmjenu Poziva. Izmjenom Poziva se, između ostalog, početak zaprimanja projektnih prijedloga pomiče sa 30. ožujka 2020. u 11:00 sati na 29. svibnja 2020. godine u 11:00 sati, a krajnji rok zaprimanja odgađa za 15. rujna 2020. godine. 
1 PP povučena u fazi Ocjene kvalitete
Poziv je privremeno obustavljen u periodu od 23.07.2020 do 31.08.2020. 
Poziv zatvoren 31.08.2020. u 11:00. Za 3 OoF (dokumentacija zaprimljena od PT2  13.11.2020.), čeka se dodatna alokacija.
23.12.2020. - Odlukom o povećanju alokacije Poziva uvećana je ukupna alokacija Poziva i sada iznosi  109.765.300,00 kn. 
</t>
  </si>
  <si>
    <t>10.10.2019. Korisniku izdana Suglasnost o budućem osiguranju sredstava</t>
  </si>
  <si>
    <t>22.9.2020. Korisniku izdana Suglasnost o budućem osiguranju sredstava</t>
  </si>
  <si>
    <t>16.12.2020. Koriskniku izdana Suglasnost o budućem osiguranju sredstava</t>
  </si>
  <si>
    <t>- Izrađen  je nacrt  projektno-studijske dokumentacije
 - ishođeni su Dodaci 1., 2., Rješenje o OPPUO
- lokacijske dozvole (ishođeno 1/3), građevinske dozvole (ishođeno 0/11) i
- imovinsko-pravni odnosi rješenost 51% (285/563 k.č.)
 - nedostaje potvrda JASPERS-a da je projekt spreman za finalizaciju.
Potrebno ishoditi Mišljenje nadležnog tijela o ispravnoj primjeni zahtjeva vezanih za OPUO, 
 Zbog odluke Grada o promjeni lokacije UPOV-a (aktualne izmjene pp kojima se uvodi nova lokacija), biti će potrebno mijenjati već gotovu studijsku, projektnu dokumentacije i sve ishođene dozvole, mišljenja i rješenja.</t>
  </si>
  <si>
    <t>Razvoj vodno-komunalne infrastrukture aglomeracije Okučani</t>
  </si>
  <si>
    <t>Razvoj vodno-komunalne infrastrukture aglomeracije Batrina</t>
  </si>
  <si>
    <t>GRD d.o.o. Rijeka</t>
  </si>
  <si>
    <t>Čistoća d.o.o. Dubrovnik</t>
  </si>
  <si>
    <t>Plaški Kom d.o.o. Plaški</t>
  </si>
  <si>
    <t>Komunalno Josipdol d.o.o. Josipdol</t>
  </si>
  <si>
    <t xml:space="preserve">Usluga d.o.o. Pazin </t>
  </si>
  <si>
    <t>Čistoća Imotske krajine d.o.o. Imotski</t>
  </si>
  <si>
    <t>Čistoća Opuzen d.o.o. Opuzen</t>
  </si>
  <si>
    <t>KD Brinje d.o.o. Brinje</t>
  </si>
  <si>
    <t>Eko d.o.o. Blato</t>
  </si>
  <si>
    <t>Leć d.o.o. Vodice</t>
  </si>
  <si>
    <t>Komunalni servis d.o.o. Rovinj</t>
  </si>
  <si>
    <t>Peovica d.o.o. Omiš</t>
  </si>
  <si>
    <t>Dundovo d.o.o. Rab</t>
  </si>
  <si>
    <t>Zelenjak d.o.o. Klanjec</t>
  </si>
  <si>
    <t>*Za ugovaranje financijskih instrumenata zaduženo je MRRFEU, MGOR je izradilo kriterije i isplaćuje tranše za kredit HBOR</t>
  </si>
  <si>
    <t>PROIZVODNJA MK d.o.o.</t>
  </si>
  <si>
    <t>Prvi poziv s alokacijom od 53.200.000,00  je otkazan 31. kolovoza 2018. godine zbog mogućeg kršenja načela jednakog postupanja. 15. studenog objavljen je novi Poziv u modalitetu privremenog Poziva. 39 OOF poništene  u iznosu od ca 13milijuna HRK.</t>
  </si>
  <si>
    <r>
      <rPr>
        <sz val="9"/>
        <rFont val="Calibri"/>
        <family val="2"/>
        <charset val="238"/>
      </rPr>
      <t xml:space="preserve">(dostavljene korekcije 29.08.2016.; 25.10.2016; 21.11.2016.;09.12.2016.;13.12.2016.; 09.01.2017.) </t>
    </r>
    <r>
      <rPr>
        <sz val="10"/>
        <rFont val="Calibri"/>
        <family val="2"/>
        <charset val="238"/>
      </rPr>
      <t xml:space="preserve">
službena verzija 11.01.2017.</t>
    </r>
  </si>
  <si>
    <r>
      <rPr>
        <sz val="9"/>
        <rFont val="Calibri"/>
        <family val="2"/>
        <charset val="238"/>
      </rPr>
      <t>(inicijalna verzija: 09.05.2017.; korekcija: 12.07.2017.)</t>
    </r>
    <r>
      <rPr>
        <sz val="10"/>
        <rFont val="Calibri"/>
        <family val="2"/>
        <charset val="238"/>
      </rPr>
      <t xml:space="preserve">
službena verzija 25.07.2017.</t>
    </r>
  </si>
  <si>
    <r>
      <t xml:space="preserve">službena verzija 26.05.2017. 
</t>
    </r>
    <r>
      <rPr>
        <sz val="9"/>
        <rFont val="Calibri"/>
        <family val="2"/>
        <charset val="238"/>
      </rPr>
      <t>(korekcije: 17.07.2017.; 31.07.2017.;
02.08.2017.; završna verzija: 03.08.2017.</t>
    </r>
    <r>
      <rPr>
        <sz val="10"/>
        <rFont val="Calibri"/>
        <family val="2"/>
        <charset val="238"/>
      </rPr>
      <t>)</t>
    </r>
  </si>
  <si>
    <t>23.2.2021. Korisniku izdana suglasnost o budućem osiguranju sredstava</t>
  </si>
  <si>
    <t>Projekt je obiđen na terenu gdje je utvrđeno da nije još spreman za upućivanje poziva na dostavu aplikacijskog paketa dokumenata
- ishođeni Dodaci 1,2, Mišljenje o ispravnoj primjeni zahtjeva vezanih za OPPUO. 
- u tijeku je postupak provedbe SUO
 - ishođene su sve lokacijske  (23/23)
- ishođeno 24/27 građevinskih dozvola
- riješeno je oko 68% imovinsko-pravnih odnosa (864/1266 k.č.)
18.6.2020. zaprimljen je draft Jaspers ACN
- izrađeni nacrti DoN-ova za sve ugovore i spremni su za upućivanje na prethodno savjetovanje (osim ugovora za mrežu koji je spreman za slanje u HV na kontrolu)
26.11.2020. održan je sastanak prijavitelja, PT1 i PT2 sa predstavnicima Jaspers-a te su pojašnjena sporna pitanja; prijavitelj će dopuniti/korigirati apliakcijski paket dokumenata sukladno komenarima Jaspersa.</t>
  </si>
  <si>
    <t xml:space="preserve"> - Izdano je Mišljenje o ispravnoj primjeni zahtjeva vezanih za OPPUO 
- ishođeni Dodaci 1,2, Rješenje o OPPUO
- ishođene su sve lokacijske  (16/16) i građevinske  dozvole (17/17) 
- riješeno je oko 74,89% imovinsko-pravnih odnosa (1485/1983  k.č.) 
- 19.11.2020. zaprimljen je draft Jaspers ACN 
-dokumentacija za nadmetanje u visokom stupnju gotovosti 
</t>
  </si>
  <si>
    <t>MULTISENZORSKO ZRAČNO SNIMANJE REPUBLIKE HRVATSKE ZA POTREBE PROCJENA SMANJENJA RIZIKA OD KATASTROFA (LIDAR)</t>
  </si>
  <si>
    <t>Grad Novalja</t>
  </si>
  <si>
    <t>Općina Podgora</t>
  </si>
  <si>
    <t>Čistoća i zelenilo d.o.o. Konavle</t>
  </si>
  <si>
    <t>1. maj d.o.o. Labin</t>
  </si>
  <si>
    <t>KTD Ivanj d.o.o. Novi Vinodolski</t>
  </si>
  <si>
    <t>Gradina- Baška voda d.o.o. Baška Voda</t>
  </si>
  <si>
    <t>Eko Moslavina d.o.o. Kutina</t>
  </si>
  <si>
    <t>Sabkom d.o.o. Saborsko</t>
  </si>
  <si>
    <t>Bošana d.o.o. Biograd na Moru</t>
  </si>
  <si>
    <t>Komunalac d.o.o. Plitvička jezera</t>
  </si>
  <si>
    <t>zatvoren 15.02.2021.</t>
  </si>
  <si>
    <t>1.3.2021. Korisniku izdana suglasnost o budućem osiguranju sredstava</t>
  </si>
  <si>
    <t>Zaprimljena 21 prijava, 8 prijava je odbijeno, 2 povučene, doneseno je 10 odluka o financiranju, a  1 prijava je u evaluaciji.</t>
  </si>
  <si>
    <t>Projektna prijava službeno dostavljena 22.05.2020. Ista je pregledana te su zajednički komentari PT1 i PT2 upućeni prijavitelju 10.6.2020. 3.7.2020. održan operativni sastanak s Korisnikom.  29.7.2020. prijavitelj je dostavio dorađen dio dokumentacije za prijavu projekta (Dodatni dokument projekta i proračun za projekt).  Zajednički kometari PT1 i PT2 upućeni prijavitelju 31.8.2020. S obzirom da nismo zaprimili korigiranu projektnu prijavu, 14.12.2020. Prijavitelju upućen mail kojim tražimo  očitovanje o daljnjim planovima prijave ovog projekta. 28.12.2020. zaprimljen dopis Ministarstva znanosti i obrazovanja iz kojeg je vidljivo kako PMF traži mogućnosti  financiranja 15 % nacionalne komponente ovog projekta.  Za 8.2.2021.  održan sastanak PT1 i PT2 s MZO i PMF na temu konačnog dogovora oko načina financiranja nacionalne komponente projekta. Na istom nisu usuglašeni stavovi oko modela financiranja. 3.3.2021. održan je novi sastanak na kojem je dogovoren način financiranja 15% nacionalne komponente. Slijedom dogovorenog, Prijavitelj će korigirati projektnu prijavu i poslati PT -ima na usuglašavanje u roku od 10 dana.</t>
  </si>
  <si>
    <t xml:space="preserve">
Poziv  otkazan 08. svibnja radi tehničkih problema u sustavu efondovi. Otvoren novi poziv 22. svibnja, obustavljen 7. lipnja (200%). Dodatna alokacija od 163 mil kn u I/2019.
Postupak dodjele završen.</t>
  </si>
  <si>
    <t>Prijave se zaprimaju od 10. rujna 2018. godine u 11:00 sati. Dana 25.lipnja 2020. objavljena izmjena Poziva, uvažavajući okolnosti nastale uslijed širenja koronavirusa i bolesti COVID-19, krajnji rok zaprimanja PP pomiče se sa 29.06.2020. na 31. prosinca 2020. godine u 11 sati ili  do iskorištenja sredstava.
Postupak dodjele završen.</t>
  </si>
  <si>
    <t>Postupak donošenja OoF za preostale PP (nakon riješenih prigovora)
Postupak dodjele završen.</t>
  </si>
  <si>
    <t xml:space="preserve">Općina Marina </t>
  </si>
  <si>
    <t>Čisti otok d.o.o. Vir</t>
  </si>
  <si>
    <t>MINGOR- Zavod za zaštitu okoliša i prirode (HAOP)</t>
  </si>
  <si>
    <t>MINGOR - Zavod za zaštitu okoliša i prirode (HAOP)</t>
  </si>
  <si>
    <t>MINGOR - UZP</t>
  </si>
  <si>
    <t>15. listopada 2020. pokrenut je drugi Poziv „Povećanje energetske učinkovitosti i korištenja obnovljivih izvora energije u proizvodnim industrijama“ SC 4b1 (referentni broj: KK.04.1.1.03.). Ukupan raspoloživi iznos bespovratnih sredstava za dodjelu u okviru ovog Poziva je 266.000.000,00 HRK. Zaprimljeno je 345 prijava i potraživana sredstva iznose 1,5 miljardi.</t>
  </si>
  <si>
    <t>Općina Viškovci</t>
  </si>
  <si>
    <t>zatvoren 31.12.2020.</t>
  </si>
  <si>
    <t>Trajni poziv u okviru SC 6iii2 sa rokom dostave projektnih prijedloga do 18.5.2020. Završen odabir za ukupno 8 projektnih prijedloga, broj potpisanih Ugovora je 5, odbijene su 2 projektne prijave. Jedan projektni prijedlog je postupku ugovaranja.</t>
  </si>
  <si>
    <t xml:space="preserve">Postupak dodjele završen. 
10.12.2020. - Odlukom o povećanju alokacije Poziva uvećana je ukupna alokacija Poziva i sada iznosi  41.322.500,00 kn.
</t>
  </si>
  <si>
    <t>23.3.2021. Korisniku izdava suglasnost o budućem osiguranju sredstava</t>
  </si>
  <si>
    <t>Novokom d.o.o. Novi Marof</t>
  </si>
  <si>
    <t>Općina Povljana</t>
  </si>
  <si>
    <t xml:space="preserve">Čistoća Metković d.o.o. </t>
  </si>
  <si>
    <t>U tijeku je postupak dodjele bespovratnih sredstava.</t>
  </si>
  <si>
    <t>Poziv za Izravnu dodjelu bespovratnih sredstva je objavljen 22.3. i u tijeku je podnošenje prijave od strane  odabranog Prijavitelja.</t>
  </si>
  <si>
    <t>Poziv za Izravnu dodjelu bespovratnih sredstva je objavljen 26.3. i od 30. ožujka 2021. odabrani Prijavitelj može podnijeti projektnu prijavu.</t>
  </si>
  <si>
    <t>02.04.2021.</t>
  </si>
  <si>
    <t>24.9.2020. Korisniku izdana suglasnost o budućem osiguranju sredstva.
3.2.02021. prijavitelj je u PT2 uputio zahtjev za suglasnost na novelirani aplikacijski paket dokumenata. Dokumentacija je pregledana te su prijavitelju upućeni komentari 19.3.2021.  i 23.3.2021.</t>
  </si>
  <si>
    <t>11.2.2020. Korisniku izdana suglasnost o budućem osiguranju sredstava.
23.3.2021. zaprimili smo izmijenjeni aplikacijski paket dokumenata. U tijeku je pregled dostavljenog.</t>
  </si>
  <si>
    <t>36,92 % s opravdanim projektnim predujmovima, umanjeno za financijsku korekciju. Odnos prema umanjenoj alokaciji</t>
  </si>
  <si>
    <t>36,92 % uključujći još neopravdane projektne predujmove, umanjeno za financijsku korekciju. Odnos prema umanjenoj alokaciji</t>
  </si>
  <si>
    <t xml:space="preserve">30.3.2021. Korisniku izdana suglasnost o budućem osiguranju sredstava </t>
  </si>
  <si>
    <t>II.kvartal 2021.</t>
  </si>
  <si>
    <r>
      <t>Projektna prijava dostavljena je 18.2.2020. 
21.7.2020. prijavitelju je upućen Jaspers DRAFT ACN u kojem su tražene određene dorade dokumentacije. 27.7.2020. prijavtelju su upućeni zajednički komentari PT1 i PT2.
6.10.2020. održan je sastanak PT1 i PT2 sa predstavnicima konzultanata te su pojašnjeni komentari i i  izmjene koje je potrebno napraviti. S obzirom da još nismo zaprimili ispravljeni aplikacijski paket dokumenata, u siječnju 2021. je prijavitelju upućen dopis u kojem se traži dostava navedenog. 8.1.2021. je održan sastanak sa predstavnicima Vodovoda Korenica kao prijavitelja projekta na temu prijenosa vodnih građevina sa NP Plitvička jezera na JIVU Korenica d.o.o. te je dogovoreno da će potpisati zapisnik o primopredaji vodnih građevina. Također, dogovoreno je da će ispravljeni aplikacijski paket dokumentata biti dostavljen do kraja siječnja 2021.
18.2.2021. prijavitelj je dostavio korigiranu SI, a o</t>
    </r>
    <r>
      <rPr>
        <sz val="10"/>
        <color rgb="FFFF0000"/>
        <rFont val="Calibri"/>
        <family val="2"/>
        <charset val="238"/>
        <scheme val="minor"/>
      </rPr>
      <t>statak dokumetacije je dostavljen 31.3.2021.. Slijedi pregled dostavljenog.</t>
    </r>
  </si>
  <si>
    <r>
      <t xml:space="preserve">Poziv na dostavu aplikacijskog paketa dokumenata upućen je prijavitelju 22.10.2020.
Projektna prijava dostavljena  je 6.11.2020. Projektna prijava je pregledana te su 11.1.2021. prijavitelju upućeni zajednički komentari PT1 i PT2. 
 23. ožujka 2021. godine  zaprimili smo dopis gradonačelnika Grada Slavonskog Broda i načelnika Općina Brodski Stupnik, Bukovlje, Donji Andrijevci, Garčin, Gornja Vrba, Klakar, Podcrkavlje i Sibinj, vezano za realizaciju projekta. Pripremljen je odgovor u  kojem ih informiramo o mogućnostima financiranja u okviru sljedećeg programskog razdoblja 2021. - 2027 te ih pozivamo da dostave ispravljenu projektnu prijavu kako bi završili pregled prijave. </t>
    </r>
    <r>
      <rPr>
        <sz val="10"/>
        <color rgb="FFFF0000"/>
        <rFont val="Calibri"/>
        <family val="2"/>
        <charset val="238"/>
        <scheme val="minor"/>
      </rPr>
      <t>26.3.2021. dostavljena je korigirana projektna prijava. U tijeku je pregled dostavljenog</t>
    </r>
    <r>
      <rPr>
        <sz val="10"/>
        <rFont val="Calibri"/>
        <family val="2"/>
        <charset val="238"/>
        <scheme val="minor"/>
      </rPr>
      <t>.</t>
    </r>
  </si>
  <si>
    <r>
      <t xml:space="preserve">6.11.2020. </t>
    </r>
    <r>
      <rPr>
        <sz val="10"/>
        <color rgb="FFFF0000"/>
        <rFont val="Calibri"/>
        <family val="2"/>
        <charset val="238"/>
        <scheme val="minor"/>
      </rPr>
      <t>/26.3.2021.</t>
    </r>
  </si>
  <si>
    <r>
      <t>18.2.2020./18.2.2021./3</t>
    </r>
    <r>
      <rPr>
        <sz val="10"/>
        <color rgb="FFFF0000"/>
        <rFont val="Calibri"/>
        <family val="2"/>
        <charset val="238"/>
        <scheme val="minor"/>
      </rPr>
      <t>1.3.2021.</t>
    </r>
  </si>
  <si>
    <r>
      <t xml:space="preserve">24.2.2021. Korisniku izdana suglasnost o budućem osiguranju sredstva. 25.3.2021. zaprimili smo izmijenjeni aplikacijski paket dokumenata. </t>
    </r>
    <r>
      <rPr>
        <sz val="10"/>
        <color rgb="FFFF0000"/>
        <rFont val="Calibri"/>
        <family val="2"/>
        <charset val="238"/>
        <scheme val="minor"/>
      </rPr>
      <t>Isti je  pregledan te su 29.3.2021. prijavitelju upućeni komentari PT1 i PT2.</t>
    </r>
  </si>
  <si>
    <t>31.3.2021. zaprimili smo izmijenjeni aplikacijski paket dokumenata. Slijedi pregled dostavljenog.</t>
  </si>
  <si>
    <r>
      <t>30.11.2020. zaprimljen draft Jaspers ACN. 7.12.2020. održana video konferencija s Jaspersom sukladno traženju Prijavitelja.   14.12.2020. Prijavitelj dostavio korigirani paket dokumentacije nakon komentara PT-a, Jaspersa i održane video konferencije. Isti je pregledan i komentari PT1 su 18.12.2020. upućeni PT-u 2 na objedinjavanje.  15.1.2021. zaprimljen EIA dio Jaspers ACN-a. Značajna neriješena pitanja koja se navode u ACN-u su:  • Postupci PUO i OPEM za projekt ne mogu se smatrati usklađenima s primjenjivim zakonodavstvom EU-a.
• Izjave iz Dodatka 1. nisu odgovarajuće. 27.1.2021. zaprimljen kompletan Jaspers ACN u kojem nema značajnih komentara na tehnički dio. Neriješena pitanja iz EIA dijela ACN-a od 15.1. i dalje stoje. 2. veljače 2021. održan sastanak na kojem je predloženo rješavanje pitanja usklađenosti s Direktivom o PUO. Sukladno zaključcima sastanka:  23.2.2021. PT1 dostavio Jaspersu Izjavu Korisnika i obrazloženje sagledanih utjecaja na područja ekološke mreže u odnosu na specifične ciljeve očuvanja za Sisačko područje. 2.3.2021. Jaspers potvrdio kako poslano smatra zadovoljavajućim, očekuje se i povratna informacija od DG ENV . 8.3.2021. održan sastanak na temu izmjena i dopuna lokacijskih dozvola izdanih za zahvate koji su sastavni dio EU projekta. Sukladno dogovoru sa sastanka Prijavitelj je izradio dopune Idejnih projekata i podneseni su zahtjevi za dopune lokacijskih dozvola za pet zahvata.</t>
    </r>
    <r>
      <rPr>
        <sz val="10"/>
        <color rgb="FFFF0000"/>
        <rFont val="Calibri"/>
        <family val="2"/>
        <charset val="238"/>
        <scheme val="minor"/>
      </rPr>
      <t xml:space="preserve">
</t>
    </r>
    <r>
      <rPr>
        <sz val="10"/>
        <rFont val="Calibri"/>
        <family val="2"/>
        <charset val="238"/>
        <scheme val="minor"/>
      </rPr>
      <t xml:space="preserve">
</t>
    </r>
  </si>
  <si>
    <t xml:space="preserve">Trećim izmjenama poziva 12.5. alokacija je smanjena s 250 na 100 mil. HRK. 
Dosad je zaprimljeno 26 prijava, 1 je povučena, 11 prijava je odbijeno, doneseno je 7 odluka o financiranju, a  7 prijava je u evaluaciji. </t>
  </si>
  <si>
    <t>Zaprimljeno 146 prijava, 3 prijave su povučene, 23 prijava je odbijeno, za 119 prijava je donesena odluka o financiranju, 1 odluka je poništena.</t>
  </si>
  <si>
    <t>Općina Vrbje</t>
  </si>
  <si>
    <t>AŽURIRANO NA DAN: 01. 04. 2021.</t>
  </si>
  <si>
    <t>Iznos bespovratne potpore u raskinutim ugovorima</t>
  </si>
  <si>
    <t>Iznos bespovratne potpore u ugovorima koji nisu raskinuti</t>
  </si>
  <si>
    <t>9.4.2021.</t>
  </si>
  <si>
    <r>
      <t xml:space="preserve">Zaprimljeno je 97 prijava, od kojih su 5 povučene, 21 je odbijeno, za </t>
    </r>
    <r>
      <rPr>
        <sz val="11"/>
        <color rgb="FFFF0000"/>
        <rFont val="Calibri"/>
        <family val="2"/>
        <charset val="238"/>
        <scheme val="minor"/>
      </rPr>
      <t>60</t>
    </r>
    <r>
      <rPr>
        <sz val="11"/>
        <rFont val="Calibri"/>
        <family val="2"/>
        <charset val="238"/>
        <scheme val="minor"/>
      </rPr>
      <t xml:space="preserve"> prijave je donesena odluka o financiranju, a 1</t>
    </r>
    <r>
      <rPr>
        <sz val="11"/>
        <color rgb="FFFF0000"/>
        <rFont val="Calibri"/>
        <family val="2"/>
        <charset val="238"/>
        <scheme val="minor"/>
      </rPr>
      <t>1</t>
    </r>
    <r>
      <rPr>
        <sz val="11"/>
        <rFont val="Calibri"/>
        <family val="2"/>
        <charset val="238"/>
        <scheme val="minor"/>
      </rPr>
      <t xml:space="preserve"> prijava je u evaluaciji. </t>
    </r>
  </si>
  <si>
    <t>Općina Stankovci</t>
  </si>
  <si>
    <t>Općina Župa Dubrovačka</t>
  </si>
  <si>
    <t>Općina Pakoštane</t>
  </si>
  <si>
    <t>Općina Novo Virje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</si>
</sst>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8" formatCode="#,##0.00\ &quot;kn&quot;;[Red]\-#,##0.00\ &quot;kn&quot;"/>
    <numFmt numFmtId="44" formatCode="_-* #,##0.00\ &quot;kn&quot;_-;\-* #,##0.00\ &quot;kn&quot;_-;_-* &quot;-&quot;??\ &quot;kn&quot;_-;_-@_-"/>
    <numFmt numFmtId="43" formatCode="_-* #,##0.00_-;\-* #,##0.00_-;_-* &quot;-&quot;??_-;_-@_-"/>
    <numFmt numFmtId="164" formatCode="_-* #,##0.00\ _k_n_-;\-* #,##0.00\ _k_n_-;_-* &quot;-&quot;??\ _k_n_-;_-@_-"/>
    <numFmt numFmtId="165" formatCode="#,##0.00\ _k_n"/>
    <numFmt numFmtId="166" formatCode="#,##0.00\ [$€-1]"/>
    <numFmt numFmtId="167" formatCode="#,##0.00\ &quot;kn&quot;"/>
    <numFmt numFmtId="168" formatCode="#,##0.0000"/>
    <numFmt numFmtId="169" formatCode="#,##0\ [$€-1];[Red]\-#,##0\ [$€-1]"/>
    <numFmt numFmtId="170" formatCode="000"/>
    <numFmt numFmtId="171" formatCode="#,##0.00_ ;\-#,##0.00\ "/>
    <numFmt numFmtId="172" formatCode="_-* #,##0.00\ [$kn-41A]_-;\-* #,##0.00\ [$kn-41A]_-;_-* &quot;-&quot;??\ [$kn-41A]_-;_-@_-"/>
    <numFmt numFmtId="173" formatCode="_-* #,##0\ [$€-1]_-;\-* #,##0\ [$€-1]_-;_-* &quot;-&quot;??\ [$€-1]_-;_-@_-"/>
    <numFmt numFmtId="174" formatCode="_-* #,##0\ [$kn-41A]_-;\-* #,##0\ [$kn-41A]_-;_-* &quot;-&quot;??\ [$kn-41A]_-;_-@_-"/>
    <numFmt numFmtId="175" formatCode="0.000%"/>
    <numFmt numFmtId="176" formatCode="_-* #,##0.00\ [$€-1]_-;\-* #,##0.00\ [$€-1]_-;_-* &quot;-&quot;??\ [$€-1]_-;_-@_-"/>
    <numFmt numFmtId="177" formatCode="0.00000000"/>
    <numFmt numFmtId="178" formatCode="#,##0\ _k_n"/>
    <numFmt numFmtId="179" formatCode="#,##0.00;[Red]#,##0.00"/>
  </numFmts>
  <fonts count="60"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2"/>
      <name val="Calibri"/>
      <family val="2"/>
      <charset val="238"/>
      <scheme val="minor"/>
    </font>
    <font>
      <i/>
      <sz val="11"/>
      <color theme="1"/>
      <name val="Calibri"/>
      <family val="2"/>
      <charset val="238"/>
      <scheme val="minor"/>
    </font>
    <font>
      <b/>
      <sz val="11"/>
      <name val="Calibri"/>
      <family val="2"/>
      <charset val="238"/>
      <scheme val="minor"/>
    </font>
    <font>
      <sz val="10"/>
      <name val="Calibri"/>
      <family val="2"/>
      <charset val="238"/>
      <scheme val="minor"/>
    </font>
    <font>
      <sz val="11"/>
      <name val="Calibri"/>
      <family val="2"/>
      <charset val="238"/>
      <scheme val="minor"/>
    </font>
    <font>
      <sz val="10"/>
      <color rgb="FFFF0000"/>
      <name val="Calibri"/>
      <family val="2"/>
      <charset val="238"/>
      <scheme val="minor"/>
    </font>
    <font>
      <b/>
      <sz val="10"/>
      <name val="Calibri"/>
      <family val="2"/>
      <charset val="238"/>
    </font>
    <font>
      <sz val="11"/>
      <color rgb="FFFF0000"/>
      <name val="Calibri"/>
      <family val="2"/>
      <charset val="238"/>
      <scheme val="minor"/>
    </font>
    <font>
      <b/>
      <sz val="14"/>
      <color rgb="FFFF0000"/>
      <name val="Calibri"/>
      <family val="2"/>
      <charset val="238"/>
      <scheme val="minor"/>
    </font>
    <font>
      <i/>
      <sz val="10"/>
      <color theme="1"/>
      <name val="Calibri"/>
      <family val="2"/>
      <charset val="238"/>
      <scheme val="minor"/>
    </font>
    <font>
      <b/>
      <sz val="10"/>
      <color theme="1"/>
      <name val="Calibri"/>
      <family val="2"/>
      <charset val="238"/>
      <scheme val="minor"/>
    </font>
    <font>
      <b/>
      <sz val="12"/>
      <color theme="1"/>
      <name val="Calibri"/>
      <family val="2"/>
      <charset val="238"/>
      <scheme val="minor"/>
    </font>
    <font>
      <b/>
      <sz val="11"/>
      <color rgb="FFFF0000"/>
      <name val="Calibri"/>
      <family val="2"/>
      <charset val="238"/>
      <scheme val="minor"/>
    </font>
    <font>
      <b/>
      <sz val="10"/>
      <name val="Calibri"/>
      <family val="2"/>
      <charset val="238"/>
      <scheme val="minor"/>
    </font>
    <font>
      <sz val="12"/>
      <color theme="1"/>
      <name val="Calibri"/>
      <family val="2"/>
      <charset val="238"/>
      <scheme val="minor"/>
    </font>
    <font>
      <sz val="12"/>
      <name val="Calibri"/>
      <family val="2"/>
      <charset val="238"/>
      <scheme val="minor"/>
    </font>
    <font>
      <b/>
      <sz val="14"/>
      <name val="Calibri"/>
      <family val="2"/>
      <charset val="238"/>
      <scheme val="minor"/>
    </font>
    <font>
      <b/>
      <sz val="14"/>
      <color theme="1"/>
      <name val="Calibri"/>
      <family val="2"/>
      <charset val="238"/>
      <scheme val="minor"/>
    </font>
    <font>
      <b/>
      <sz val="13"/>
      <name val="Calibri"/>
      <family val="2"/>
      <charset val="238"/>
      <scheme val="minor"/>
    </font>
    <font>
      <i/>
      <sz val="11"/>
      <name val="Calibri"/>
      <family val="2"/>
      <charset val="238"/>
      <scheme val="minor"/>
    </font>
    <font>
      <b/>
      <sz val="12"/>
      <color rgb="FFFF0000"/>
      <name val="Calibri"/>
      <family val="2"/>
      <charset val="238"/>
      <scheme val="minor"/>
    </font>
    <font>
      <b/>
      <i/>
      <sz val="14"/>
      <color rgb="FFFF0000"/>
      <name val="Calibri"/>
      <family val="2"/>
      <charset val="238"/>
      <scheme val="minor"/>
    </font>
    <font>
      <b/>
      <i/>
      <sz val="11"/>
      <name val="Calibri"/>
      <family val="2"/>
      <charset val="238"/>
      <scheme val="minor"/>
    </font>
    <font>
      <sz val="11"/>
      <name val="Wingdings"/>
      <charset val="2"/>
    </font>
    <font>
      <sz val="9"/>
      <color theme="1"/>
      <name val="Calibri"/>
      <family val="2"/>
      <charset val="238"/>
      <scheme val="minor"/>
    </font>
    <font>
      <i/>
      <sz val="10"/>
      <name val="Calibri"/>
      <family val="2"/>
      <charset val="238"/>
      <scheme val="minor"/>
    </font>
    <font>
      <sz val="9"/>
      <color rgb="FFFF0000"/>
      <name val="Calibri"/>
      <family val="2"/>
      <charset val="238"/>
      <scheme val="minor"/>
    </font>
    <font>
      <sz val="11"/>
      <name val="Calibri"/>
      <family val="2"/>
      <charset val="238"/>
    </font>
    <font>
      <b/>
      <i/>
      <sz val="14"/>
      <name val="Calibri"/>
      <family val="2"/>
      <charset val="238"/>
      <scheme val="minor"/>
    </font>
    <font>
      <sz val="11"/>
      <color theme="1"/>
      <name val="Calibri"/>
      <family val="2"/>
      <charset val="238"/>
    </font>
    <font>
      <b/>
      <sz val="14"/>
      <name val="Calibri"/>
      <family val="2"/>
      <charset val="238"/>
    </font>
    <font>
      <b/>
      <sz val="11"/>
      <name val="Calibri"/>
      <family val="2"/>
      <charset val="238"/>
    </font>
    <font>
      <sz val="11"/>
      <color rgb="FFFF0000"/>
      <name val="Calibri"/>
      <family val="2"/>
      <charset val="238"/>
    </font>
    <font>
      <b/>
      <sz val="11"/>
      <color rgb="FFFF0000"/>
      <name val="Calibri"/>
      <family val="2"/>
      <charset val="238"/>
    </font>
    <font>
      <sz val="14"/>
      <color theme="1"/>
      <name val="Calibri"/>
      <family val="2"/>
      <charset val="238"/>
      <scheme val="minor"/>
    </font>
    <font>
      <i/>
      <sz val="14"/>
      <name val="Calibri"/>
      <family val="2"/>
      <charset val="238"/>
      <scheme val="minor"/>
    </font>
    <font>
      <sz val="14"/>
      <name val="Calibri"/>
      <family val="2"/>
      <charset val="238"/>
      <scheme val="minor"/>
    </font>
    <font>
      <b/>
      <sz val="18"/>
      <color theme="0"/>
      <name val="Calibri"/>
      <family val="2"/>
      <scheme val="minor"/>
    </font>
    <font>
      <b/>
      <sz val="14"/>
      <name val="Calibri"/>
      <family val="2"/>
      <scheme val="minor"/>
    </font>
    <font>
      <sz val="14"/>
      <color rgb="FF000000"/>
      <name val="Calibri"/>
      <family val="2"/>
      <charset val="238"/>
      <scheme val="minor"/>
    </font>
    <font>
      <sz val="14"/>
      <color theme="1"/>
      <name val="Calibri"/>
      <family val="2"/>
      <scheme val="minor"/>
    </font>
    <font>
      <b/>
      <sz val="15"/>
      <color theme="0"/>
      <name val="Calibri"/>
      <family val="2"/>
      <charset val="238"/>
      <scheme val="minor"/>
    </font>
    <font>
      <b/>
      <sz val="15"/>
      <name val="Calibri"/>
      <family val="2"/>
      <charset val="238"/>
      <scheme val="minor"/>
    </font>
    <font>
      <b/>
      <sz val="18"/>
      <color theme="0"/>
      <name val="Calibri"/>
      <family val="2"/>
      <charset val="238"/>
      <scheme val="minor"/>
    </font>
    <font>
      <sz val="14"/>
      <name val="Calibri"/>
      <family val="2"/>
      <scheme val="minor"/>
    </font>
    <font>
      <sz val="15"/>
      <name val="Calibri"/>
      <family val="2"/>
      <charset val="238"/>
      <scheme val="minor"/>
    </font>
    <font>
      <sz val="12"/>
      <color theme="1"/>
      <name val="Times New Roman"/>
      <family val="1"/>
    </font>
    <font>
      <b/>
      <sz val="10"/>
      <color rgb="FFFF0000"/>
      <name val="Calibri"/>
      <family val="2"/>
      <charset val="238"/>
      <scheme val="minor"/>
    </font>
    <font>
      <b/>
      <sz val="9"/>
      <color indexed="81"/>
      <name val="Segoe UI"/>
      <family val="2"/>
      <charset val="238"/>
    </font>
    <font>
      <sz val="9"/>
      <color indexed="81"/>
      <name val="Segoe UI"/>
      <family val="2"/>
      <charset val="238"/>
    </font>
    <font>
      <sz val="11"/>
      <color rgb="FFFF0000"/>
      <name val="Wingdings"/>
      <charset val="2"/>
    </font>
    <font>
      <sz val="11"/>
      <color theme="1"/>
      <name val="Wingdings"/>
      <charset val="2"/>
    </font>
    <font>
      <sz val="10"/>
      <name val="Calibri"/>
      <family val="2"/>
      <charset val="238"/>
    </font>
    <font>
      <sz val="9"/>
      <name val="Calibri"/>
      <family val="2"/>
      <charset val="238"/>
    </font>
    <font>
      <sz val="9"/>
      <name val="Calibri"/>
      <family val="2"/>
      <charset val="238"/>
      <scheme val="minor"/>
    </font>
    <font>
      <b/>
      <sz val="20"/>
      <name val="Calibri"/>
      <family val="2"/>
      <charset val="238"/>
      <scheme val="minor"/>
    </font>
  </fonts>
  <fills count="41">
    <fill>
      <patternFill patternType="none"/>
    </fill>
    <fill>
      <patternFill patternType="gray125"/>
    </fill>
    <fill>
      <patternFill patternType="solid">
        <fgColor theme="6" tint="0.59999389629810485"/>
        <bgColor indexed="64"/>
      </patternFill>
    </fill>
    <fill>
      <patternFill patternType="solid">
        <fgColor rgb="FFBDD6EE"/>
        <bgColor indexed="64"/>
      </patternFill>
    </fill>
    <fill>
      <patternFill patternType="solid">
        <fgColor theme="6"/>
        <bgColor indexed="64"/>
      </patternFill>
    </fill>
    <fill>
      <patternFill patternType="solid">
        <fgColor theme="4" tint="0.59999389629810485"/>
        <bgColor indexed="64"/>
      </patternFill>
    </fill>
    <fill>
      <patternFill patternType="solid">
        <fgColor rgb="FFFCE19E"/>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rgb="FFEFAD07"/>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C4E59F"/>
        <bgColor indexed="64"/>
      </patternFill>
    </fill>
    <fill>
      <patternFill patternType="solid">
        <fgColor rgb="FFCCCCFF"/>
        <bgColor indexed="64"/>
      </patternFill>
    </fill>
    <fill>
      <patternFill patternType="solid">
        <fgColor theme="8" tint="0.39997558519241921"/>
        <bgColor indexed="64"/>
      </patternFill>
    </fill>
    <fill>
      <patternFill patternType="solid">
        <fgColor rgb="FF00FFCC"/>
        <bgColor indexed="64"/>
      </patternFill>
    </fill>
    <fill>
      <patternFill patternType="solid">
        <fgColor theme="4" tint="0.39997558519241921"/>
        <bgColor indexed="64"/>
      </patternFill>
    </fill>
    <fill>
      <patternFill patternType="solid">
        <fgColor theme="4" tint="0.59999389629810485"/>
        <bgColor rgb="FF000000"/>
      </patternFill>
    </fill>
    <fill>
      <patternFill patternType="solid">
        <fgColor rgb="FFDAEEF3"/>
        <bgColor rgb="FF000000"/>
      </patternFill>
    </fill>
    <fill>
      <patternFill patternType="solid">
        <fgColor rgb="FFB8CCE4"/>
        <bgColor rgb="FF000000"/>
      </patternFill>
    </fill>
    <fill>
      <patternFill patternType="solid">
        <fgColor rgb="FF002060"/>
        <bgColor indexed="64"/>
      </patternFill>
    </fill>
    <fill>
      <patternFill patternType="solid">
        <fgColor rgb="FFFFFFCC"/>
        <bgColor indexed="64"/>
      </patternFill>
    </fill>
    <fill>
      <patternFill patternType="solid">
        <fgColor theme="5" tint="0.79998168889431442"/>
        <bgColor indexed="64"/>
      </patternFill>
    </fill>
    <fill>
      <patternFill patternType="lightUp"/>
    </fill>
    <fill>
      <patternFill patternType="solid">
        <fgColor theme="6" tint="0.79998168889431442"/>
        <bgColor indexed="64"/>
      </patternFill>
    </fill>
    <fill>
      <patternFill patternType="solid">
        <fgColor rgb="FFF8CBAD"/>
        <bgColor indexed="64"/>
      </patternFill>
    </fill>
    <fill>
      <patternFill patternType="solid">
        <fgColor rgb="FFE7E6E6"/>
        <bgColor indexed="64"/>
      </patternFill>
    </fill>
    <fill>
      <patternFill patternType="solid">
        <fgColor rgb="FFFFFFFF"/>
        <bgColor indexed="64"/>
      </patternFill>
    </fill>
    <fill>
      <patternFill patternType="solid">
        <fgColor rgb="FFFFFF00"/>
        <bgColor indexed="64"/>
      </patternFill>
    </fill>
    <fill>
      <patternFill patternType="solid">
        <fgColor rgb="FF92D050"/>
        <bgColor indexed="64"/>
      </patternFill>
    </fill>
    <fill>
      <patternFill patternType="solid">
        <fgColor rgb="FF0070C0"/>
        <bgColor indexed="64"/>
      </patternFill>
    </fill>
    <fill>
      <patternFill patternType="solid">
        <fgColor theme="3" tint="0.79998168889431442"/>
        <bgColor indexed="64"/>
      </patternFill>
    </fill>
    <fill>
      <patternFill patternType="solid">
        <fgColor rgb="FFFFC000"/>
        <bgColor indexed="64"/>
      </patternFill>
    </fill>
    <fill>
      <patternFill patternType="solid">
        <fgColor theme="7" tint="0.39997558519241921"/>
        <bgColor indexed="64"/>
      </patternFill>
    </fill>
    <fill>
      <patternFill patternType="solid">
        <fgColor rgb="FFFFFFFF"/>
        <bgColor rgb="FF000000"/>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auto="1"/>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auto="1"/>
      </right>
      <top style="thin">
        <color auto="1"/>
      </top>
      <bottom style="thin">
        <color auto="1"/>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auto="1"/>
      </left>
      <right/>
      <top style="medium">
        <color auto="1"/>
      </top>
      <bottom style="medium">
        <color auto="1"/>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style="medium">
        <color auto="1"/>
      </top>
      <bottom style="medium">
        <color auto="1"/>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auto="1"/>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rgb="FF000000"/>
      </left>
      <right style="medium">
        <color auto="1"/>
      </right>
      <top style="medium">
        <color auto="1"/>
      </top>
      <bottom style="thin">
        <color rgb="FF000000"/>
      </bottom>
      <diagonal/>
    </border>
    <border>
      <left style="medium">
        <color auto="1"/>
      </left>
      <right/>
      <top style="thin">
        <color auto="1"/>
      </top>
      <bottom style="medium">
        <color auto="1"/>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rgb="FF000000"/>
      </bottom>
      <diagonal/>
    </border>
    <border>
      <left/>
      <right style="thin">
        <color indexed="64"/>
      </right>
      <top/>
      <bottom style="medium">
        <color auto="1"/>
      </bottom>
      <diagonal/>
    </border>
    <border>
      <left/>
      <right style="thin">
        <color auto="1"/>
      </right>
      <top style="medium">
        <color auto="1"/>
      </top>
      <bottom/>
      <diagonal/>
    </border>
    <border>
      <left style="thin">
        <color auto="1"/>
      </left>
      <right style="medium">
        <color auto="1"/>
      </right>
      <top style="thin">
        <color auto="1"/>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thin">
        <color auto="1"/>
      </right>
      <top/>
      <bottom/>
      <diagonal/>
    </border>
    <border>
      <left/>
      <right/>
      <top style="medium">
        <color indexed="64"/>
      </top>
      <bottom/>
      <diagonal/>
    </border>
    <border>
      <left/>
      <right style="thin">
        <color indexed="64"/>
      </right>
      <top style="medium">
        <color indexed="64"/>
      </top>
      <bottom style="medium">
        <color indexed="64"/>
      </bottom>
      <diagonal/>
    </border>
    <border>
      <left/>
      <right style="thin">
        <color auto="1"/>
      </right>
      <top style="thin">
        <color indexed="64"/>
      </top>
      <bottom style="medium">
        <color indexed="64"/>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164" fontId="1" fillId="0" borderId="0" applyFont="0" applyFill="0" applyBorder="0" applyAlignment="0" applyProtection="0"/>
  </cellStyleXfs>
  <cellXfs count="1537">
    <xf numFmtId="0" fontId="0" fillId="0" borderId="0" xfId="0"/>
    <xf numFmtId="14" fontId="4" fillId="0" borderId="0" xfId="0" applyNumberFormat="1" applyFont="1" applyBorder="1" applyAlignment="1">
      <alignment horizontal="right" vertical="center"/>
    </xf>
    <xf numFmtId="0" fontId="6" fillId="3" borderId="1" xfId="0" applyFont="1" applyFill="1" applyBorder="1" applyAlignment="1">
      <alignment horizontal="center" vertical="center" wrapText="1"/>
    </xf>
    <xf numFmtId="9" fontId="6" fillId="3"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xf>
    <xf numFmtId="9" fontId="8" fillId="0" borderId="1" xfId="0" applyNumberFormat="1" applyFont="1" applyFill="1" applyBorder="1" applyAlignment="1">
      <alignment horizontal="right" vertical="center" wrapText="1" inden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65" fontId="8" fillId="0" borderId="2" xfId="0" applyNumberFormat="1" applyFont="1" applyFill="1" applyBorder="1" applyAlignment="1">
      <alignment horizontal="right" vertical="center" wrapText="1" indent="1"/>
    </xf>
    <xf numFmtId="9" fontId="8" fillId="0" borderId="2" xfId="0" applyNumberFormat="1" applyFont="1" applyFill="1" applyBorder="1" applyAlignment="1">
      <alignment horizontal="right" vertical="center" wrapText="1" indent="1"/>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166" fontId="6" fillId="5" borderId="5" xfId="0" applyNumberFormat="1" applyFont="1" applyFill="1" applyBorder="1" applyAlignment="1">
      <alignment horizontal="right" vertical="center"/>
    </xf>
    <xf numFmtId="167" fontId="6" fillId="5" borderId="5" xfId="0" applyNumberFormat="1" applyFont="1" applyFill="1" applyBorder="1" applyAlignment="1">
      <alignment horizontal="right" vertical="center"/>
    </xf>
    <xf numFmtId="10" fontId="6" fillId="5" borderId="5" xfId="1" applyNumberFormat="1" applyFont="1" applyFill="1" applyBorder="1" applyAlignment="1">
      <alignment horizontal="right" vertical="center"/>
    </xf>
    <xf numFmtId="10" fontId="6" fillId="5" borderId="6" xfId="0" applyNumberFormat="1" applyFont="1" applyFill="1" applyBorder="1" applyAlignment="1">
      <alignment horizontal="right" vertical="center"/>
    </xf>
    <xf numFmtId="165" fontId="8" fillId="0" borderId="8" xfId="0" applyNumberFormat="1" applyFont="1" applyFill="1" applyBorder="1" applyAlignment="1">
      <alignment horizontal="right" vertical="center" wrapText="1" indent="1"/>
    </xf>
    <xf numFmtId="9" fontId="8" fillId="0" borderId="8" xfId="0" applyNumberFormat="1" applyFont="1" applyFill="1" applyBorder="1" applyAlignment="1">
      <alignment horizontal="right" vertical="center" wrapText="1" indent="1"/>
    </xf>
    <xf numFmtId="0" fontId="8" fillId="0" borderId="1" xfId="0" applyFont="1" applyFill="1" applyBorder="1" applyAlignment="1">
      <alignment horizontal="center" vertical="center" wrapText="1"/>
    </xf>
    <xf numFmtId="4" fontId="8" fillId="0" borderId="1" xfId="0" applyNumberFormat="1" applyFont="1" applyFill="1" applyBorder="1" applyAlignment="1">
      <alignment horizontal="right" vertical="center"/>
    </xf>
    <xf numFmtId="0" fontId="8" fillId="0" borderId="0" xfId="0" applyFont="1" applyFill="1"/>
    <xf numFmtId="4" fontId="7" fillId="0" borderId="0" xfId="0" applyNumberFormat="1" applyFont="1" applyFill="1" applyAlignment="1">
      <alignment horizontal="center" vertical="center"/>
    </xf>
    <xf numFmtId="4" fontId="8" fillId="0" borderId="1" xfId="0" applyNumberFormat="1" applyFont="1" applyFill="1" applyBorder="1" applyAlignment="1">
      <alignment vertical="center"/>
    </xf>
    <xf numFmtId="0" fontId="7" fillId="0" borderId="0" xfId="0" applyFont="1" applyFill="1" applyAlignment="1">
      <alignment horizontal="center" vertical="center"/>
    </xf>
    <xf numFmtId="0" fontId="8" fillId="0" borderId="8" xfId="0"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4" fontId="8" fillId="0" borderId="1" xfId="0" applyNumberFormat="1" applyFont="1" applyBorder="1" applyAlignment="1">
      <alignment vertical="center"/>
    </xf>
    <xf numFmtId="10" fontId="7" fillId="0" borderId="0" xfId="1" applyNumberFormat="1" applyFont="1" applyFill="1" applyAlignment="1">
      <alignment horizontal="center" vertical="center"/>
    </xf>
    <xf numFmtId="0" fontId="8" fillId="0" borderId="1" xfId="0" applyFont="1" applyFill="1" applyBorder="1" applyAlignment="1">
      <alignment horizontal="left" vertical="center" wrapText="1"/>
    </xf>
    <xf numFmtId="0" fontId="7" fillId="0" borderId="0" xfId="0" applyFont="1" applyAlignment="1">
      <alignment horizontal="center" vertical="center"/>
    </xf>
    <xf numFmtId="0" fontId="6" fillId="5" borderId="1" xfId="0" applyFont="1" applyFill="1" applyBorder="1" applyAlignment="1">
      <alignment horizontal="center" vertical="center"/>
    </xf>
    <xf numFmtId="0" fontId="8" fillId="5" borderId="1" xfId="0" applyFont="1" applyFill="1" applyBorder="1" applyAlignment="1">
      <alignment horizontal="center" vertical="center"/>
    </xf>
    <xf numFmtId="0" fontId="4" fillId="6" borderId="4" xfId="0" applyFont="1" applyFill="1" applyBorder="1" applyAlignment="1">
      <alignment horizontal="center" vertical="center"/>
    </xf>
    <xf numFmtId="4" fontId="10" fillId="0" borderId="0" xfId="0" applyNumberFormat="1" applyFont="1" applyFill="1" applyBorder="1" applyAlignment="1">
      <alignment horizontal="center" vertical="center"/>
    </xf>
    <xf numFmtId="9" fontId="10" fillId="0" borderId="0" xfId="0" applyNumberFormat="1" applyFont="1" applyFill="1" applyBorder="1" applyAlignment="1">
      <alignment horizontal="center" vertical="center"/>
    </xf>
    <xf numFmtId="0" fontId="7" fillId="0" borderId="1" xfId="0" quotePrefix="1" applyFont="1" applyFill="1" applyBorder="1" applyAlignment="1">
      <alignment horizontal="center" vertical="center" wrapText="1"/>
    </xf>
    <xf numFmtId="166" fontId="6" fillId="5" borderId="1" xfId="0" applyNumberFormat="1" applyFont="1" applyFill="1" applyBorder="1" applyAlignment="1">
      <alignment horizontal="center" vertical="center"/>
    </xf>
    <xf numFmtId="167" fontId="6" fillId="5" borderId="1" xfId="0" applyNumberFormat="1" applyFont="1" applyFill="1" applyBorder="1" applyAlignment="1">
      <alignment horizontal="center" vertical="center"/>
    </xf>
    <xf numFmtId="166" fontId="4" fillId="6" borderId="5" xfId="0" applyNumberFormat="1" applyFont="1" applyFill="1" applyBorder="1" applyAlignment="1">
      <alignment horizontal="center" vertical="center"/>
    </xf>
    <xf numFmtId="167" fontId="4" fillId="6" borderId="5" xfId="0" applyNumberFormat="1" applyFont="1" applyFill="1" applyBorder="1" applyAlignment="1">
      <alignment horizontal="center" vertical="center"/>
    </xf>
    <xf numFmtId="0" fontId="12" fillId="0" borderId="0" xfId="0" applyFont="1"/>
    <xf numFmtId="0" fontId="4" fillId="7" borderId="0" xfId="0" applyFont="1" applyFill="1" applyAlignment="1">
      <alignment horizontal="left" vertical="center"/>
    </xf>
    <xf numFmtId="0" fontId="4" fillId="0" borderId="2" xfId="0" applyFont="1" applyBorder="1" applyAlignment="1">
      <alignment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vertical="center" wrapText="1"/>
    </xf>
    <xf numFmtId="3" fontId="8" fillId="8" borderId="1" xfId="0" applyNumberFormat="1" applyFont="1" applyFill="1" applyBorder="1" applyAlignment="1">
      <alignment vertical="center"/>
    </xf>
    <xf numFmtId="3" fontId="8" fillId="0" borderId="1" xfId="0" applyNumberFormat="1" applyFont="1" applyBorder="1" applyAlignment="1">
      <alignment horizontal="right" vertical="center"/>
    </xf>
    <xf numFmtId="0" fontId="8" fillId="0" borderId="1" xfId="0" applyFont="1" applyBorder="1" applyAlignment="1">
      <alignment horizontal="center" vertical="center" wrapText="1"/>
    </xf>
    <xf numFmtId="0" fontId="4" fillId="0" borderId="1" xfId="0" applyFont="1" applyBorder="1" applyAlignment="1">
      <alignment vertical="center"/>
    </xf>
    <xf numFmtId="0" fontId="4" fillId="9" borderId="0" xfId="0" applyFont="1" applyFill="1" applyAlignment="1">
      <alignment horizontal="center" vertical="center"/>
    </xf>
    <xf numFmtId="0" fontId="4" fillId="2" borderId="9" xfId="0" applyFont="1" applyFill="1" applyBorder="1" applyAlignment="1">
      <alignment horizontal="left" vertical="center"/>
    </xf>
    <xf numFmtId="0" fontId="4" fillId="2" borderId="0" xfId="0" applyFont="1" applyFill="1" applyBorder="1" applyAlignment="1">
      <alignment horizontal="left" vertical="center"/>
    </xf>
    <xf numFmtId="3" fontId="0" fillId="8" borderId="1" xfId="0" applyNumberFormat="1" applyFont="1" applyFill="1" applyBorder="1" applyAlignment="1">
      <alignment vertical="center"/>
    </xf>
    <xf numFmtId="14" fontId="0" fillId="0" borderId="10" xfId="0" applyNumberFormat="1" applyFont="1" applyBorder="1" applyAlignment="1">
      <alignment horizontal="right" vertical="center"/>
    </xf>
    <xf numFmtId="0" fontId="8" fillId="0" borderId="0" xfId="0" applyFont="1"/>
    <xf numFmtId="3" fontId="8" fillId="0" borderId="1" xfId="0" applyNumberFormat="1" applyFont="1" applyBorder="1" applyAlignment="1">
      <alignment vertical="center"/>
    </xf>
    <xf numFmtId="3" fontId="0" fillId="0" borderId="1" xfId="0" applyNumberFormat="1" applyFont="1" applyBorder="1" applyAlignment="1">
      <alignment vertical="center"/>
    </xf>
    <xf numFmtId="0" fontId="8" fillId="0" borderId="0" xfId="0" applyFont="1" applyAlignment="1">
      <alignment horizontal="center" vertical="center"/>
    </xf>
    <xf numFmtId="0" fontId="8" fillId="8" borderId="1" xfId="0" applyFont="1" applyFill="1" applyBorder="1" applyAlignment="1">
      <alignment vertical="center" wrapText="1"/>
    </xf>
    <xf numFmtId="3" fontId="8" fillId="8" borderId="1" xfId="0" applyNumberFormat="1" applyFont="1" applyFill="1" applyBorder="1" applyAlignment="1">
      <alignment horizontal="center" vertical="center"/>
    </xf>
    <xf numFmtId="0" fontId="8" fillId="0" borderId="1" xfId="0" applyFont="1" applyBorder="1"/>
    <xf numFmtId="0" fontId="8" fillId="0" borderId="1" xfId="0" applyFont="1" applyBorder="1" applyAlignment="1">
      <alignment horizontal="center" vertical="center"/>
    </xf>
    <xf numFmtId="0" fontId="8" fillId="0" borderId="1" xfId="0" applyFont="1" applyBorder="1" applyAlignment="1">
      <alignment vertical="top" wrapText="1"/>
    </xf>
    <xf numFmtId="0" fontId="3" fillId="0" borderId="0" xfId="0" applyFont="1"/>
    <xf numFmtId="0" fontId="7" fillId="11" borderId="1" xfId="0" applyFont="1" applyFill="1" applyBorder="1"/>
    <xf numFmtId="0" fontId="7" fillId="11" borderId="1" xfId="0" applyFont="1" applyFill="1" applyBorder="1" applyAlignment="1">
      <alignment wrapText="1"/>
    </xf>
    <xf numFmtId="0" fontId="13" fillId="0" borderId="0" xfId="0" applyFont="1" applyAlignment="1">
      <alignment vertical="center"/>
    </xf>
    <xf numFmtId="0" fontId="0" fillId="0" borderId="0" xfId="0" applyAlignment="1">
      <alignment horizontal="right"/>
    </xf>
    <xf numFmtId="4" fontId="7" fillId="11" borderId="1" xfId="0" applyNumberFormat="1" applyFont="1" applyFill="1" applyBorder="1" applyAlignment="1">
      <alignment horizontal="center" vertical="center"/>
    </xf>
    <xf numFmtId="4" fontId="7" fillId="11" borderId="1" xfId="0" applyNumberFormat="1" applyFont="1" applyFill="1" applyBorder="1" applyAlignment="1">
      <alignment vertical="center"/>
    </xf>
    <xf numFmtId="0" fontId="0" fillId="0" borderId="0" xfId="0" applyAlignment="1">
      <alignment horizontal="center"/>
    </xf>
    <xf numFmtId="4" fontId="0" fillId="0" borderId="0" xfId="0" applyNumberFormat="1" applyAlignment="1">
      <alignment horizontal="right"/>
    </xf>
    <xf numFmtId="0" fontId="0" fillId="0" borderId="0" xfId="0" applyAlignment="1"/>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Border="1" applyAlignment="1">
      <alignment horizontal="right"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12" borderId="15" xfId="0" applyFont="1" applyFill="1" applyBorder="1" applyAlignment="1">
      <alignment horizontal="center" vertical="center"/>
    </xf>
    <xf numFmtId="170" fontId="7" fillId="12" borderId="15" xfId="0" applyNumberFormat="1" applyFont="1" applyFill="1" applyBorder="1" applyAlignment="1">
      <alignment horizontal="center" vertical="center"/>
    </xf>
    <xf numFmtId="0" fontId="7" fillId="12" borderId="16" xfId="0" applyFont="1" applyFill="1" applyBorder="1" applyAlignment="1">
      <alignment horizontal="center" vertical="center" wrapText="1"/>
    </xf>
    <xf numFmtId="0" fontId="7" fillId="12" borderId="17" xfId="0" applyFont="1" applyFill="1" applyBorder="1" applyAlignment="1">
      <alignment horizontal="center" vertical="center" wrapText="1"/>
    </xf>
    <xf numFmtId="44" fontId="3" fillId="12" borderId="18" xfId="0" applyNumberFormat="1" applyFont="1" applyFill="1" applyBorder="1" applyAlignment="1">
      <alignment vertical="center"/>
    </xf>
    <xf numFmtId="164" fontId="3" fillId="12" borderId="19" xfId="0" applyNumberFormat="1" applyFont="1" applyFill="1" applyBorder="1" applyAlignment="1">
      <alignment horizontal="center" vertical="center"/>
    </xf>
    <xf numFmtId="10" fontId="3" fillId="12" borderId="19" xfId="0" applyNumberFormat="1" applyFont="1" applyFill="1" applyBorder="1" applyAlignment="1">
      <alignment horizontal="right" vertical="center"/>
    </xf>
    <xf numFmtId="4" fontId="8" fillId="12" borderId="0" xfId="0" applyNumberFormat="1" applyFont="1" applyFill="1"/>
    <xf numFmtId="4" fontId="8" fillId="12" borderId="1" xfId="0" applyNumberFormat="1" applyFont="1" applyFill="1" applyBorder="1"/>
    <xf numFmtId="10" fontId="8" fillId="12" borderId="20" xfId="0" applyNumberFormat="1" applyFont="1" applyFill="1" applyBorder="1"/>
    <xf numFmtId="10" fontId="8" fillId="12" borderId="21" xfId="0" applyNumberFormat="1" applyFont="1" applyFill="1" applyBorder="1"/>
    <xf numFmtId="10" fontId="8" fillId="12" borderId="21" xfId="0" applyNumberFormat="1" applyFont="1" applyFill="1" applyBorder="1" applyAlignment="1">
      <alignment horizontal="center" vertical="center"/>
    </xf>
    <xf numFmtId="0" fontId="7" fillId="0" borderId="22" xfId="0" applyFont="1" applyBorder="1" applyAlignment="1">
      <alignment horizontal="center" vertical="center"/>
    </xf>
    <xf numFmtId="170" fontId="7" fillId="0" borderId="22" xfId="0" applyNumberFormat="1" applyFont="1" applyBorder="1" applyAlignment="1">
      <alignment horizontal="center" vertical="center"/>
    </xf>
    <xf numFmtId="0" fontId="7" fillId="0" borderId="21" xfId="0" applyFont="1" applyBorder="1" applyAlignment="1">
      <alignment horizontal="center" vertical="center" wrapText="1"/>
    </xf>
    <xf numFmtId="0" fontId="7" fillId="0" borderId="3" xfId="0" applyFont="1" applyBorder="1" applyAlignment="1">
      <alignment horizontal="center" vertical="center" wrapText="1"/>
    </xf>
    <xf numFmtId="44" fontId="3" fillId="0" borderId="23" xfId="0" applyNumberFormat="1" applyFont="1" applyBorder="1" applyAlignment="1">
      <alignment vertical="center"/>
    </xf>
    <xf numFmtId="164" fontId="3" fillId="0" borderId="1" xfId="0" applyNumberFormat="1" applyFont="1" applyBorder="1" applyAlignment="1">
      <alignment horizontal="center" vertical="center"/>
    </xf>
    <xf numFmtId="10" fontId="3" fillId="0" borderId="1" xfId="0" applyNumberFormat="1" applyFont="1" applyBorder="1" applyAlignment="1">
      <alignment horizontal="right" vertical="center"/>
    </xf>
    <xf numFmtId="4" fontId="8" fillId="0" borderId="1" xfId="0" applyNumberFormat="1" applyFont="1" applyBorder="1"/>
    <xf numFmtId="10" fontId="8" fillId="0" borderId="20" xfId="0" applyNumberFormat="1" applyFont="1" applyBorder="1"/>
    <xf numFmtId="10" fontId="8" fillId="0" borderId="21" xfId="0" applyNumberFormat="1" applyFont="1" applyBorder="1"/>
    <xf numFmtId="10" fontId="8" fillId="0" borderId="21" xfId="0" applyNumberFormat="1" applyFont="1" applyBorder="1" applyAlignment="1">
      <alignment horizontal="center"/>
    </xf>
    <xf numFmtId="0" fontId="7" fillId="12" borderId="22" xfId="0" applyFont="1" applyFill="1" applyBorder="1" applyAlignment="1">
      <alignment horizontal="center" vertical="center"/>
    </xf>
    <xf numFmtId="170" fontId="7" fillId="12" borderId="22" xfId="0" applyNumberFormat="1" applyFont="1" applyFill="1" applyBorder="1" applyAlignment="1">
      <alignment horizontal="center" vertical="center"/>
    </xf>
    <xf numFmtId="0" fontId="7" fillId="12" borderId="21" xfId="0" applyFont="1" applyFill="1" applyBorder="1" applyAlignment="1">
      <alignment horizontal="center" vertical="center" wrapText="1"/>
    </xf>
    <xf numFmtId="0" fontId="7" fillId="12" borderId="3" xfId="0" applyFont="1" applyFill="1" applyBorder="1" applyAlignment="1">
      <alignment horizontal="center" vertical="center" wrapText="1"/>
    </xf>
    <xf numFmtId="44" fontId="3" fillId="12" borderId="23" xfId="0" applyNumberFormat="1" applyFont="1" applyFill="1" applyBorder="1" applyAlignment="1">
      <alignment vertical="center"/>
    </xf>
    <xf numFmtId="164" fontId="3" fillId="12" borderId="1" xfId="0" applyNumberFormat="1" applyFont="1" applyFill="1" applyBorder="1" applyAlignment="1">
      <alignment horizontal="center" vertical="center"/>
    </xf>
    <xf numFmtId="10" fontId="3" fillId="12" borderId="1" xfId="0" applyNumberFormat="1" applyFont="1" applyFill="1" applyBorder="1" applyAlignment="1">
      <alignment horizontal="right" vertical="center"/>
    </xf>
    <xf numFmtId="10" fontId="8" fillId="12" borderId="21" xfId="0" applyNumberFormat="1" applyFont="1" applyFill="1" applyBorder="1" applyAlignment="1">
      <alignment horizontal="center"/>
    </xf>
    <xf numFmtId="4" fontId="8" fillId="0" borderId="0" xfId="0" applyNumberFormat="1" applyFont="1"/>
    <xf numFmtId="0" fontId="0" fillId="0" borderId="0" xfId="0" applyFont="1"/>
    <xf numFmtId="0" fontId="11" fillId="0" borderId="0" xfId="0" applyFont="1"/>
    <xf numFmtId="0" fontId="7" fillId="13" borderId="22" xfId="0" applyFont="1" applyFill="1" applyBorder="1" applyAlignment="1">
      <alignment horizontal="center" vertical="center"/>
    </xf>
    <xf numFmtId="170" fontId="7" fillId="13" borderId="22" xfId="0" applyNumberFormat="1" applyFont="1" applyFill="1" applyBorder="1" applyAlignment="1">
      <alignment horizontal="center" vertical="center"/>
    </xf>
    <xf numFmtId="0" fontId="7" fillId="13" borderId="21" xfId="0" applyFont="1" applyFill="1" applyBorder="1" applyAlignment="1">
      <alignment horizontal="center" vertical="center" wrapText="1"/>
    </xf>
    <xf numFmtId="0" fontId="7" fillId="13" borderId="3" xfId="0" applyFont="1" applyFill="1" applyBorder="1" applyAlignment="1">
      <alignment horizontal="center" vertical="center" wrapText="1"/>
    </xf>
    <xf numFmtId="44" fontId="3" fillId="13" borderId="23" xfId="0" applyNumberFormat="1" applyFont="1" applyFill="1" applyBorder="1" applyAlignment="1">
      <alignment vertical="center"/>
    </xf>
    <xf numFmtId="164" fontId="3" fillId="13" borderId="1" xfId="0" applyNumberFormat="1" applyFont="1" applyFill="1" applyBorder="1" applyAlignment="1">
      <alignment horizontal="center" vertical="center"/>
    </xf>
    <xf numFmtId="10" fontId="3" fillId="13" borderId="1" xfId="0" applyNumberFormat="1" applyFont="1" applyFill="1" applyBorder="1" applyAlignment="1">
      <alignment horizontal="right" vertical="center"/>
    </xf>
    <xf numFmtId="4" fontId="8" fillId="13" borderId="1" xfId="0" applyNumberFormat="1" applyFont="1" applyFill="1" applyBorder="1"/>
    <xf numFmtId="10" fontId="8" fillId="13" borderId="20" xfId="0" applyNumberFormat="1" applyFont="1" applyFill="1" applyBorder="1"/>
    <xf numFmtId="10" fontId="8" fillId="13" borderId="21" xfId="0" applyNumberFormat="1" applyFont="1" applyFill="1" applyBorder="1"/>
    <xf numFmtId="10" fontId="8" fillId="13" borderId="21" xfId="0" applyNumberFormat="1" applyFont="1" applyFill="1" applyBorder="1" applyAlignment="1">
      <alignment horizontal="center" vertical="center" wrapText="1"/>
    </xf>
    <xf numFmtId="10" fontId="8" fillId="12" borderId="21" xfId="0" applyNumberFormat="1" applyFont="1" applyFill="1" applyBorder="1" applyAlignment="1"/>
    <xf numFmtId="0" fontId="0" fillId="12" borderId="0" xfId="0" applyFill="1"/>
    <xf numFmtId="4" fontId="8" fillId="12" borderId="7" xfId="0" applyNumberFormat="1" applyFont="1" applyFill="1" applyBorder="1"/>
    <xf numFmtId="4" fontId="8" fillId="0" borderId="1" xfId="0" applyNumberFormat="1" applyFont="1" applyBorder="1" applyAlignment="1"/>
    <xf numFmtId="4" fontId="8" fillId="0" borderId="1" xfId="0" applyNumberFormat="1" applyFont="1" applyFill="1" applyBorder="1"/>
    <xf numFmtId="0" fontId="7" fillId="12" borderId="24" xfId="0" applyFont="1" applyFill="1" applyBorder="1" applyAlignment="1">
      <alignment horizontal="center" vertical="center"/>
    </xf>
    <xf numFmtId="170" fontId="7" fillId="12" borderId="24" xfId="0" applyNumberFormat="1" applyFont="1" applyFill="1" applyBorder="1" applyAlignment="1">
      <alignment horizontal="center" vertical="center"/>
    </xf>
    <xf numFmtId="10" fontId="8" fillId="12" borderId="25" xfId="0" applyNumberFormat="1" applyFont="1" applyFill="1" applyBorder="1"/>
    <xf numFmtId="0" fontId="7" fillId="0" borderId="24" xfId="0" applyFont="1" applyBorder="1" applyAlignment="1">
      <alignment horizontal="center" vertical="center"/>
    </xf>
    <xf numFmtId="170" fontId="7" fillId="0" borderId="24" xfId="0" applyNumberFormat="1" applyFont="1" applyBorder="1" applyAlignment="1">
      <alignment horizontal="center" vertical="center"/>
    </xf>
    <xf numFmtId="0" fontId="7" fillId="0" borderId="22" xfId="0" applyFont="1" applyBorder="1" applyAlignment="1">
      <alignment horizontal="center" vertical="center" wrapText="1"/>
    </xf>
    <xf numFmtId="4" fontId="8" fillId="8" borderId="1" xfId="0" applyNumberFormat="1" applyFont="1" applyFill="1" applyBorder="1"/>
    <xf numFmtId="10" fontId="8" fillId="0" borderId="26" xfId="0" applyNumberFormat="1" applyFont="1" applyBorder="1"/>
    <xf numFmtId="0" fontId="7" fillId="0" borderId="27" xfId="0" applyFont="1" applyBorder="1" applyAlignment="1">
      <alignment horizontal="center" vertical="center" wrapText="1"/>
    </xf>
    <xf numFmtId="167" fontId="3" fillId="0" borderId="22" xfId="0" applyNumberFormat="1" applyFont="1" applyBorder="1" applyAlignment="1">
      <alignment vertical="center"/>
    </xf>
    <xf numFmtId="167" fontId="3" fillId="0" borderId="23" xfId="0" applyNumberFormat="1" applyFont="1" applyBorder="1" applyAlignment="1">
      <alignment vertical="center"/>
    </xf>
    <xf numFmtId="10" fontId="8" fillId="8" borderId="26" xfId="0" applyNumberFormat="1" applyFont="1" applyFill="1" applyBorder="1"/>
    <xf numFmtId="10" fontId="8" fillId="8" borderId="21" xfId="0" applyNumberFormat="1" applyFont="1" applyFill="1" applyBorder="1"/>
    <xf numFmtId="167" fontId="3" fillId="12" borderId="23" xfId="0" applyNumberFormat="1" applyFont="1" applyFill="1" applyBorder="1" applyAlignment="1">
      <alignment vertical="center"/>
    </xf>
    <xf numFmtId="10" fontId="8" fillId="12" borderId="26" xfId="0" applyNumberFormat="1" applyFont="1" applyFill="1" applyBorder="1"/>
    <xf numFmtId="0" fontId="7" fillId="12" borderId="21" xfId="0" applyFont="1" applyFill="1" applyBorder="1" applyAlignment="1">
      <alignment horizontal="center" vertical="center"/>
    </xf>
    <xf numFmtId="170" fontId="7" fillId="12" borderId="28" xfId="0" applyNumberFormat="1" applyFont="1" applyFill="1" applyBorder="1" applyAlignment="1">
      <alignment horizontal="center" vertical="center"/>
    </xf>
    <xf numFmtId="0" fontId="7" fillId="12" borderId="28" xfId="0" applyFont="1" applyFill="1" applyBorder="1" applyAlignment="1">
      <alignment horizontal="center" vertical="center" wrapText="1"/>
    </xf>
    <xf numFmtId="0" fontId="7" fillId="12" borderId="29" xfId="0" applyFont="1" applyFill="1" applyBorder="1" applyAlignment="1">
      <alignment horizontal="center" vertical="center" wrapText="1"/>
    </xf>
    <xf numFmtId="167" fontId="3" fillId="12" borderId="30" xfId="0" applyNumberFormat="1" applyFont="1" applyFill="1" applyBorder="1" applyAlignment="1">
      <alignment vertical="center"/>
    </xf>
    <xf numFmtId="164" fontId="3" fillId="12" borderId="2" xfId="0" applyNumberFormat="1" applyFont="1" applyFill="1" applyBorder="1" applyAlignment="1">
      <alignment horizontal="center" vertical="center"/>
    </xf>
    <xf numFmtId="10" fontId="3" fillId="12" borderId="2" xfId="0" applyNumberFormat="1" applyFont="1" applyFill="1" applyBorder="1" applyAlignment="1">
      <alignment horizontal="right" vertical="center"/>
    </xf>
    <xf numFmtId="0" fontId="7" fillId="0" borderId="21" xfId="0" applyFont="1" applyBorder="1" applyAlignment="1">
      <alignment horizontal="center" vertical="center"/>
    </xf>
    <xf numFmtId="170" fontId="7" fillId="0" borderId="28" xfId="0" applyNumberFormat="1" applyFont="1" applyBorder="1" applyAlignment="1">
      <alignment horizontal="center" vertical="center"/>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167" fontId="3" fillId="0" borderId="30" xfId="0" applyNumberFormat="1" applyFont="1" applyBorder="1" applyAlignment="1">
      <alignment vertical="center"/>
    </xf>
    <xf numFmtId="164" fontId="3" fillId="0" borderId="2" xfId="0" applyNumberFormat="1" applyFont="1" applyBorder="1" applyAlignment="1">
      <alignment horizontal="center" vertical="center"/>
    </xf>
    <xf numFmtId="10" fontId="3" fillId="0" borderId="2" xfId="0" applyNumberFormat="1" applyFont="1" applyBorder="1" applyAlignment="1">
      <alignment horizontal="right" vertical="center"/>
    </xf>
    <xf numFmtId="0" fontId="7" fillId="13" borderId="21" xfId="0" applyFont="1" applyFill="1" applyBorder="1" applyAlignment="1">
      <alignment horizontal="center" vertical="center"/>
    </xf>
    <xf numFmtId="170" fontId="7" fillId="13" borderId="28" xfId="0" applyNumberFormat="1" applyFont="1" applyFill="1" applyBorder="1" applyAlignment="1">
      <alignment horizontal="center" vertical="center"/>
    </xf>
    <xf numFmtId="0" fontId="7" fillId="13" borderId="28" xfId="0" applyFont="1" applyFill="1" applyBorder="1" applyAlignment="1">
      <alignment horizontal="center" vertical="center" wrapText="1"/>
    </xf>
    <xf numFmtId="0" fontId="7" fillId="13" borderId="29" xfId="0" applyFont="1" applyFill="1" applyBorder="1" applyAlignment="1">
      <alignment horizontal="center" vertical="center" wrapText="1"/>
    </xf>
    <xf numFmtId="167" fontId="7" fillId="13" borderId="30" xfId="0" applyNumberFormat="1" applyFont="1" applyFill="1" applyBorder="1" applyAlignment="1">
      <alignment vertical="center"/>
    </xf>
    <xf numFmtId="164" fontId="7" fillId="13" borderId="2" xfId="0" applyNumberFormat="1" applyFont="1" applyFill="1" applyBorder="1" applyAlignment="1">
      <alignment horizontal="center" vertical="center"/>
    </xf>
    <xf numFmtId="10" fontId="7" fillId="13" borderId="2" xfId="0" applyNumberFormat="1" applyFont="1" applyFill="1" applyBorder="1" applyAlignment="1">
      <alignment horizontal="right" vertical="center"/>
    </xf>
    <xf numFmtId="4" fontId="8" fillId="13" borderId="0" xfId="0" applyNumberFormat="1" applyFont="1" applyFill="1"/>
    <xf numFmtId="10" fontId="8" fillId="13" borderId="26" xfId="0" applyNumberFormat="1" applyFont="1" applyFill="1" applyBorder="1"/>
    <xf numFmtId="0" fontId="7" fillId="0" borderId="25" xfId="0" applyFont="1" applyBorder="1" applyAlignment="1">
      <alignment horizontal="center" vertical="center" wrapText="1"/>
    </xf>
    <xf numFmtId="167" fontId="3" fillId="0" borderId="31" xfId="0" applyNumberFormat="1" applyFont="1" applyBorder="1" applyAlignment="1">
      <alignment vertical="center"/>
    </xf>
    <xf numFmtId="164" fontId="3" fillId="0" borderId="32" xfId="0" applyNumberFormat="1" applyFont="1" applyBorder="1" applyAlignment="1">
      <alignment horizontal="center" vertical="center"/>
    </xf>
    <xf numFmtId="4" fontId="8" fillId="0" borderId="8" xfId="0" applyNumberFormat="1" applyFont="1" applyBorder="1"/>
    <xf numFmtId="10" fontId="8" fillId="0" borderId="9" xfId="0" applyNumberFormat="1" applyFont="1" applyBorder="1"/>
    <xf numFmtId="10" fontId="8" fillId="0" borderId="33" xfId="0" applyNumberFormat="1" applyFont="1" applyBorder="1"/>
    <xf numFmtId="0" fontId="14" fillId="0" borderId="0" xfId="0" applyFont="1" applyAlignment="1">
      <alignment vertical="center"/>
    </xf>
    <xf numFmtId="0" fontId="15" fillId="0" borderId="34" xfId="0" applyFont="1" applyBorder="1" applyAlignment="1">
      <alignment horizontal="right" wrapText="1"/>
    </xf>
    <xf numFmtId="4" fontId="15" fillId="0" borderId="13" xfId="0" applyNumberFormat="1" applyFont="1" applyBorder="1" applyAlignment="1"/>
    <xf numFmtId="4" fontId="15" fillId="0" borderId="13" xfId="0" applyNumberFormat="1" applyFont="1" applyBorder="1" applyAlignment="1">
      <alignment horizontal="center"/>
    </xf>
    <xf numFmtId="10" fontId="15" fillId="0" borderId="13" xfId="0" applyNumberFormat="1" applyFont="1" applyBorder="1" applyAlignment="1">
      <alignment horizontal="right"/>
    </xf>
    <xf numFmtId="0" fontId="3" fillId="0" borderId="0" xfId="0" applyFont="1" applyAlignment="1">
      <alignment wrapText="1"/>
    </xf>
    <xf numFmtId="0" fontId="8" fillId="0" borderId="0" xfId="0" applyFont="1" applyAlignment="1"/>
    <xf numFmtId="0" fontId="8" fillId="0" borderId="0" xfId="0" applyFont="1" applyAlignment="1">
      <alignment horizontal="center"/>
    </xf>
    <xf numFmtId="0" fontId="8" fillId="0" borderId="0" xfId="0" applyFont="1" applyAlignment="1">
      <alignment horizontal="right"/>
    </xf>
    <xf numFmtId="4" fontId="0" fillId="0" borderId="0" xfId="0" applyNumberFormat="1"/>
    <xf numFmtId="0" fontId="8" fillId="11" borderId="1" xfId="0" applyFont="1" applyFill="1" applyBorder="1"/>
    <xf numFmtId="0" fontId="8" fillId="11" borderId="1" xfId="0" applyFont="1" applyFill="1" applyBorder="1" applyAlignment="1">
      <alignment wrapText="1"/>
    </xf>
    <xf numFmtId="0" fontId="0" fillId="0" borderId="0" xfId="0" applyFont="1" applyFill="1" applyAlignment="1">
      <alignment horizontal="center" vertical="center"/>
    </xf>
    <xf numFmtId="4" fontId="8" fillId="11" borderId="1" xfId="0" applyNumberFormat="1" applyFont="1" applyFill="1" applyBorder="1" applyAlignment="1">
      <alignment horizontal="center" vertical="center"/>
    </xf>
    <xf numFmtId="4" fontId="8" fillId="0" borderId="9" xfId="0" applyNumberFormat="1" applyFont="1" applyFill="1" applyBorder="1" applyAlignment="1">
      <alignment horizontal="center" vertical="center"/>
    </xf>
    <xf numFmtId="0" fontId="8" fillId="0" borderId="0" xfId="0" applyFont="1" applyBorder="1"/>
    <xf numFmtId="0" fontId="8" fillId="0" borderId="0" xfId="0" applyFont="1" applyBorder="1" applyAlignment="1">
      <alignment horizontal="center" vertical="center"/>
    </xf>
    <xf numFmtId="0" fontId="8" fillId="0" borderId="0" xfId="0" applyFont="1" applyFill="1" applyBorder="1" applyAlignment="1">
      <alignment wrapText="1"/>
    </xf>
    <xf numFmtId="0" fontId="6" fillId="0" borderId="13"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xf>
    <xf numFmtId="170" fontId="8" fillId="0" borderId="15" xfId="0" applyNumberFormat="1" applyFont="1" applyBorder="1" applyAlignment="1">
      <alignment horizontal="center" vertical="center"/>
    </xf>
    <xf numFmtId="0" fontId="8" fillId="8" borderId="27" xfId="0" applyFont="1" applyFill="1" applyBorder="1" applyAlignment="1">
      <alignment horizontal="center" vertical="center" wrapText="1"/>
    </xf>
    <xf numFmtId="4" fontId="0" fillId="0" borderId="18" xfId="0" applyNumberFormat="1" applyFont="1" applyBorder="1" applyAlignment="1">
      <alignment horizontal="right" vertical="center"/>
    </xf>
    <xf numFmtId="164" fontId="0" fillId="0" borderId="19" xfId="0" applyNumberFormat="1" applyFont="1" applyBorder="1" applyAlignment="1">
      <alignment horizontal="right" vertical="center"/>
    </xf>
    <xf numFmtId="10" fontId="0" fillId="8" borderId="8" xfId="0" applyNumberFormat="1" applyFont="1" applyFill="1" applyBorder="1" applyAlignment="1">
      <alignment horizontal="right"/>
    </xf>
    <xf numFmtId="4" fontId="8" fillId="0" borderId="19" xfId="0" applyNumberFormat="1" applyFont="1" applyBorder="1" applyAlignment="1"/>
    <xf numFmtId="10" fontId="8" fillId="0" borderId="19" xfId="0" applyNumberFormat="1" applyFont="1" applyBorder="1" applyAlignment="1"/>
    <xf numFmtId="10" fontId="8" fillId="0" borderId="36" xfId="0" applyNumberFormat="1" applyFont="1" applyBorder="1"/>
    <xf numFmtId="0" fontId="8" fillId="12" borderId="21" xfId="0" applyFont="1" applyFill="1" applyBorder="1" applyAlignment="1">
      <alignment horizontal="center" vertical="center"/>
    </xf>
    <xf numFmtId="170" fontId="8" fillId="12" borderId="22" xfId="0" applyNumberFormat="1" applyFont="1" applyFill="1" applyBorder="1" applyAlignment="1">
      <alignment horizontal="center" vertical="center"/>
    </xf>
    <xf numFmtId="0" fontId="8" fillId="12" borderId="27" xfId="0" applyFont="1" applyFill="1" applyBorder="1" applyAlignment="1">
      <alignment horizontal="center" vertical="center" wrapText="1"/>
    </xf>
    <xf numFmtId="4" fontId="0" fillId="12" borderId="23" xfId="0" applyNumberFormat="1" applyFont="1" applyFill="1" applyBorder="1" applyAlignment="1">
      <alignment horizontal="right" vertical="center"/>
    </xf>
    <xf numFmtId="164" fontId="0" fillId="12" borderId="8" xfId="0" applyNumberFormat="1" applyFont="1" applyFill="1" applyBorder="1" applyAlignment="1">
      <alignment horizontal="right" vertical="center"/>
    </xf>
    <xf numFmtId="10" fontId="0" fillId="12" borderId="1" xfId="0" applyNumberFormat="1" applyFont="1" applyFill="1" applyBorder="1" applyAlignment="1">
      <alignment horizontal="right"/>
    </xf>
    <xf numFmtId="4" fontId="8" fillId="12" borderId="1" xfId="0" applyNumberFormat="1" applyFont="1" applyFill="1" applyBorder="1" applyAlignment="1"/>
    <xf numFmtId="4" fontId="8" fillId="12" borderId="8" xfId="0" applyNumberFormat="1" applyFont="1" applyFill="1" applyBorder="1" applyAlignment="1"/>
    <xf numFmtId="10" fontId="8" fillId="12" borderId="8" xfId="0" applyNumberFormat="1" applyFont="1" applyFill="1" applyBorder="1" applyAlignment="1"/>
    <xf numFmtId="10" fontId="8" fillId="12" borderId="1" xfId="0" applyNumberFormat="1" applyFont="1" applyFill="1" applyBorder="1" applyAlignment="1"/>
    <xf numFmtId="171" fontId="0" fillId="12" borderId="23" xfId="0" applyNumberFormat="1" applyFont="1" applyFill="1" applyBorder="1" applyAlignment="1">
      <alignment horizontal="right" vertical="center"/>
    </xf>
    <xf numFmtId="0" fontId="8" fillId="0" borderId="27" xfId="0" applyFont="1" applyBorder="1" applyAlignment="1">
      <alignment horizontal="center" vertical="center"/>
    </xf>
    <xf numFmtId="170" fontId="8" fillId="0" borderId="22" xfId="0" applyNumberFormat="1" applyFont="1" applyBorder="1" applyAlignment="1">
      <alignment horizontal="center" vertical="center"/>
    </xf>
    <xf numFmtId="4" fontId="0" fillId="0" borderId="23" xfId="0" applyNumberFormat="1" applyFont="1" applyBorder="1" applyAlignment="1">
      <alignment horizontal="right" vertical="center"/>
    </xf>
    <xf numFmtId="164" fontId="0" fillId="0" borderId="8" xfId="0" applyNumberFormat="1" applyFont="1" applyBorder="1" applyAlignment="1">
      <alignment horizontal="right" vertical="center"/>
    </xf>
    <xf numFmtId="4" fontId="8" fillId="0" borderId="8" xfId="0" applyNumberFormat="1" applyFont="1" applyBorder="1" applyAlignment="1"/>
    <xf numFmtId="10" fontId="8" fillId="0" borderId="8" xfId="0" applyNumberFormat="1" applyFont="1" applyBorder="1" applyAlignment="1"/>
    <xf numFmtId="10" fontId="8" fillId="0" borderId="1" xfId="0" applyNumberFormat="1" applyFont="1" applyBorder="1" applyAlignment="1"/>
    <xf numFmtId="10" fontId="8" fillId="0" borderId="25" xfId="0" applyNumberFormat="1" applyFont="1" applyBorder="1"/>
    <xf numFmtId="4" fontId="0" fillId="0" borderId="0" xfId="0" applyNumberFormat="1" applyFont="1"/>
    <xf numFmtId="4" fontId="0" fillId="12" borderId="22" xfId="0" applyNumberFormat="1" applyFont="1" applyFill="1" applyBorder="1" applyAlignment="1">
      <alignment horizontal="right" vertical="center"/>
    </xf>
    <xf numFmtId="0" fontId="8" fillId="0" borderId="21" xfId="0" applyFont="1" applyBorder="1" applyAlignment="1">
      <alignment horizontal="center" vertical="center"/>
    </xf>
    <xf numFmtId="171" fontId="0" fillId="0" borderId="23" xfId="0" applyNumberFormat="1" applyFont="1" applyBorder="1" applyAlignment="1">
      <alignment horizontal="right" vertical="center"/>
    </xf>
    <xf numFmtId="0" fontId="8" fillId="12" borderId="27" xfId="0" applyFont="1" applyFill="1" applyBorder="1" applyAlignment="1">
      <alignment horizontal="center" vertical="center"/>
    </xf>
    <xf numFmtId="44" fontId="0" fillId="12" borderId="23" xfId="0" applyNumberFormat="1" applyFont="1" applyFill="1" applyBorder="1" applyAlignment="1">
      <alignment horizontal="right" vertical="center"/>
    </xf>
    <xf numFmtId="4" fontId="0" fillId="0" borderId="22" xfId="0" applyNumberFormat="1" applyFont="1" applyBorder="1" applyAlignment="1">
      <alignment horizontal="right" vertical="center"/>
    </xf>
    <xf numFmtId="4" fontId="8" fillId="12" borderId="0" xfId="0" applyNumberFormat="1" applyFont="1" applyFill="1" applyBorder="1" applyAlignment="1"/>
    <xf numFmtId="4" fontId="8" fillId="0" borderId="0" xfId="0" applyNumberFormat="1" applyFont="1" applyBorder="1" applyAlignment="1"/>
    <xf numFmtId="4" fontId="8" fillId="0" borderId="1" xfId="0" applyNumberFormat="1" applyFont="1" applyFill="1" applyBorder="1" applyAlignment="1"/>
    <xf numFmtId="0" fontId="8" fillId="8" borderId="27" xfId="0" applyFont="1" applyFill="1" applyBorder="1" applyAlignment="1">
      <alignment horizontal="center" vertical="top" wrapText="1"/>
    </xf>
    <xf numFmtId="44" fontId="0" fillId="0" borderId="23" xfId="0" applyNumberFormat="1" applyFont="1" applyBorder="1" applyAlignment="1">
      <alignment horizontal="right" vertical="center"/>
    </xf>
    <xf numFmtId="4" fontId="8" fillId="0" borderId="7" xfId="0" applyNumberFormat="1" applyFont="1" applyFill="1" applyBorder="1" applyAlignment="1"/>
    <xf numFmtId="4" fontId="8" fillId="0" borderId="0" xfId="0" applyNumberFormat="1" applyFont="1" applyAlignment="1"/>
    <xf numFmtId="0" fontId="8" fillId="14" borderId="27" xfId="0" applyFont="1" applyFill="1" applyBorder="1" applyAlignment="1">
      <alignment horizontal="center" vertical="center"/>
    </xf>
    <xf numFmtId="10" fontId="8" fillId="14" borderId="21" xfId="0" applyNumberFormat="1" applyFont="1" applyFill="1" applyBorder="1" applyAlignment="1">
      <alignment horizontal="center" vertical="center" wrapText="1"/>
    </xf>
    <xf numFmtId="4" fontId="0" fillId="14" borderId="23" xfId="0" applyNumberFormat="1" applyFont="1" applyFill="1" applyBorder="1" applyAlignment="1">
      <alignment horizontal="right" vertical="center"/>
    </xf>
    <xf numFmtId="164" fontId="0" fillId="14" borderId="8" xfId="0" applyNumberFormat="1" applyFont="1" applyFill="1" applyBorder="1" applyAlignment="1">
      <alignment horizontal="right" vertical="center"/>
    </xf>
    <xf numFmtId="4" fontId="8" fillId="14" borderId="1" xfId="0" applyNumberFormat="1" applyFont="1" applyFill="1" applyBorder="1" applyAlignment="1"/>
    <xf numFmtId="4" fontId="8" fillId="14" borderId="8" xfId="0" applyNumberFormat="1" applyFont="1" applyFill="1" applyBorder="1" applyAlignment="1"/>
    <xf numFmtId="10" fontId="8" fillId="14" borderId="8" xfId="0" applyNumberFormat="1" applyFont="1" applyFill="1" applyBorder="1" applyAlignment="1"/>
    <xf numFmtId="10" fontId="8" fillId="14" borderId="26" xfId="0" applyNumberFormat="1" applyFont="1" applyFill="1" applyBorder="1" applyAlignment="1"/>
    <xf numFmtId="10" fontId="8" fillId="14" borderId="25" xfId="0" applyNumberFormat="1" applyFont="1" applyFill="1" applyBorder="1"/>
    <xf numFmtId="0" fontId="8" fillId="12" borderId="21" xfId="0" applyFont="1" applyFill="1" applyBorder="1" applyAlignment="1">
      <alignment horizontal="center" vertical="center" wrapText="1"/>
    </xf>
    <xf numFmtId="0" fontId="8" fillId="8" borderId="21" xfId="0" applyFont="1" applyFill="1" applyBorder="1" applyAlignment="1">
      <alignment horizontal="center" vertical="center" wrapText="1"/>
    </xf>
    <xf numFmtId="170" fontId="8" fillId="0" borderId="24" xfId="0" applyNumberFormat="1" applyFont="1" applyBorder="1" applyAlignment="1">
      <alignment horizontal="center" vertical="center"/>
    </xf>
    <xf numFmtId="0" fontId="8" fillId="8" borderId="37" xfId="0" applyFont="1" applyFill="1" applyBorder="1" applyAlignment="1">
      <alignment horizontal="center" vertical="center" wrapText="1"/>
    </xf>
    <xf numFmtId="4" fontId="8" fillId="0" borderId="2" xfId="0" applyNumberFormat="1" applyFont="1" applyBorder="1" applyAlignment="1"/>
    <xf numFmtId="0" fontId="8" fillId="0" borderId="38" xfId="0" applyFont="1" applyBorder="1" applyAlignment="1">
      <alignment horizontal="center" vertical="center"/>
    </xf>
    <xf numFmtId="4" fontId="0" fillId="0" borderId="24" xfId="0" applyNumberFormat="1" applyFont="1" applyBorder="1" applyAlignment="1">
      <alignment horizontal="right" vertical="center"/>
    </xf>
    <xf numFmtId="170" fontId="8" fillId="0" borderId="21" xfId="0" applyNumberFormat="1" applyFont="1" applyBorder="1" applyAlignment="1">
      <alignment horizontal="center" vertical="center"/>
    </xf>
    <xf numFmtId="0" fontId="8" fillId="0" borderId="39" xfId="0" applyFont="1" applyBorder="1" applyAlignment="1">
      <alignment horizontal="center" vertical="center"/>
    </xf>
    <xf numFmtId="170" fontId="8" fillId="0" borderId="33" xfId="0" applyNumberFormat="1" applyFont="1" applyBorder="1" applyAlignment="1">
      <alignment horizontal="center" vertical="center"/>
    </xf>
    <xf numFmtId="0" fontId="8" fillId="8" borderId="39" xfId="0" applyFont="1" applyFill="1" applyBorder="1" applyAlignment="1">
      <alignment horizontal="center" vertical="center" wrapText="1"/>
    </xf>
    <xf numFmtId="4" fontId="0" fillId="0" borderId="40" xfId="0" applyNumberFormat="1" applyFont="1" applyBorder="1" applyAlignment="1">
      <alignment horizontal="right" vertical="center"/>
    </xf>
    <xf numFmtId="164" fontId="0" fillId="0" borderId="32" xfId="0" applyNumberFormat="1" applyFont="1" applyBorder="1" applyAlignment="1">
      <alignment horizontal="right" vertical="center"/>
    </xf>
    <xf numFmtId="10" fontId="8" fillId="0" borderId="42" xfId="0" applyNumberFormat="1" applyFont="1" applyBorder="1"/>
    <xf numFmtId="0" fontId="6" fillId="0" borderId="0" xfId="0" applyFont="1" applyAlignment="1">
      <alignment vertical="center"/>
    </xf>
    <xf numFmtId="0" fontId="6" fillId="0" borderId="31" xfId="0" applyFont="1" applyBorder="1" applyAlignment="1">
      <alignment horizontal="center" vertical="center" wrapText="1"/>
    </xf>
    <xf numFmtId="4" fontId="2" fillId="0" borderId="33" xfId="0" applyNumberFormat="1" applyFont="1" applyBorder="1" applyAlignment="1">
      <alignment horizontal="righ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Border="1"/>
    <xf numFmtId="4" fontId="0" fillId="0" borderId="0" xfId="0" applyNumberFormat="1" applyFont="1" applyBorder="1"/>
    <xf numFmtId="4" fontId="0" fillId="0" borderId="0" xfId="0" applyNumberFormat="1" applyFill="1" applyBorder="1"/>
    <xf numFmtId="0" fontId="8" fillId="15" borderId="18" xfId="0" applyFont="1" applyFill="1" applyBorder="1"/>
    <xf numFmtId="0" fontId="8" fillId="15" borderId="36" xfId="0" applyFont="1" applyFill="1" applyBorder="1" applyAlignment="1">
      <alignment wrapText="1"/>
    </xf>
    <xf numFmtId="0" fontId="3" fillId="0" borderId="0" xfId="0" applyFont="1" applyAlignment="1">
      <alignment horizontal="center" wrapText="1"/>
    </xf>
    <xf numFmtId="0" fontId="13" fillId="0" borderId="0" xfId="0" applyFont="1" applyAlignment="1">
      <alignment horizontal="center" vertical="center"/>
    </xf>
    <xf numFmtId="0" fontId="8" fillId="15" borderId="40" xfId="0" applyFont="1" applyFill="1" applyBorder="1"/>
    <xf numFmtId="4" fontId="8" fillId="15" borderId="42" xfId="0" applyNumberFormat="1" applyFont="1" applyFill="1" applyBorder="1" applyAlignment="1">
      <alignment horizontal="left" vertical="center"/>
    </xf>
    <xf numFmtId="4" fontId="7" fillId="0" borderId="0" xfId="0" applyNumberFormat="1" applyFont="1" applyFill="1" applyBorder="1" applyAlignment="1">
      <alignment horizontal="center" vertical="center"/>
    </xf>
    <xf numFmtId="0" fontId="14" fillId="0" borderId="11" xfId="0" applyFont="1" applyBorder="1" applyAlignment="1">
      <alignment horizontal="center" vertical="center"/>
    </xf>
    <xf numFmtId="0" fontId="17" fillId="0" borderId="4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1" xfId="0" applyFont="1" applyBorder="1" applyAlignment="1">
      <alignment horizontal="center" wrapText="1"/>
    </xf>
    <xf numFmtId="0" fontId="17" fillId="0" borderId="12" xfId="0" applyFont="1" applyBorder="1" applyAlignment="1">
      <alignment horizontal="center" vertical="center" wrapText="1"/>
    </xf>
    <xf numFmtId="0" fontId="0" fillId="0" borderId="4" xfId="0" applyFont="1" applyBorder="1" applyAlignment="1">
      <alignment horizontal="left" vertical="center"/>
    </xf>
    <xf numFmtId="0" fontId="8" fillId="0" borderId="5" xfId="0" applyFont="1" applyBorder="1" applyAlignment="1">
      <alignment horizontal="center" vertical="center" wrapText="1"/>
    </xf>
    <xf numFmtId="0" fontId="8" fillId="0" borderId="5" xfId="0" applyFont="1" applyBorder="1" applyAlignment="1">
      <alignment horizontal="left" vertical="top" wrapText="1"/>
    </xf>
    <xf numFmtId="0" fontId="8" fillId="0" borderId="45" xfId="0" applyFont="1" applyBorder="1" applyAlignment="1">
      <alignment horizontal="center" vertical="center" wrapText="1"/>
    </xf>
    <xf numFmtId="4" fontId="0" fillId="0" borderId="45" xfId="0" applyNumberFormat="1" applyFont="1" applyBorder="1" applyAlignment="1">
      <alignment horizontal="center" vertical="center" wrapText="1"/>
    </xf>
    <xf numFmtId="39" fontId="8" fillId="0" borderId="45" xfId="0" applyNumberFormat="1" applyFont="1" applyBorder="1" applyAlignment="1">
      <alignment vertical="center"/>
    </xf>
    <xf numFmtId="10" fontId="8" fillId="0" borderId="45" xfId="0" applyNumberFormat="1" applyFont="1" applyBorder="1" applyAlignment="1">
      <alignment horizontal="center" vertical="center"/>
    </xf>
    <xf numFmtId="0" fontId="18" fillId="0" borderId="0" xfId="0" applyFont="1" applyBorder="1" applyAlignment="1">
      <alignment horizontal="left" vertical="center"/>
    </xf>
    <xf numFmtId="0" fontId="19" fillId="0" borderId="0" xfId="0" applyFont="1" applyBorder="1" applyAlignment="1">
      <alignment horizontal="center" vertical="center" wrapText="1"/>
    </xf>
    <xf numFmtId="0" fontId="19" fillId="0" borderId="0" xfId="0" applyFont="1" applyBorder="1" applyAlignment="1">
      <alignment horizontal="left" vertical="top" wrapText="1"/>
    </xf>
    <xf numFmtId="0" fontId="20" fillId="13" borderId="4" xfId="0" applyFont="1" applyFill="1" applyBorder="1" applyAlignment="1">
      <alignment horizontal="right" wrapText="1"/>
    </xf>
    <xf numFmtId="39" fontId="20" fillId="13" borderId="5" xfId="0" applyNumberFormat="1" applyFont="1" applyFill="1" applyBorder="1" applyAlignment="1">
      <alignment vertical="center"/>
    </xf>
    <xf numFmtId="39" fontId="20" fillId="13" borderId="5" xfId="0" applyNumberFormat="1" applyFont="1" applyFill="1" applyBorder="1" applyAlignment="1">
      <alignment horizontal="center" vertical="center"/>
    </xf>
    <xf numFmtId="10" fontId="20" fillId="13" borderId="5" xfId="0" applyNumberFormat="1" applyFont="1" applyFill="1" applyBorder="1" applyAlignment="1">
      <alignment horizontal="center"/>
    </xf>
    <xf numFmtId="4" fontId="21" fillId="13" borderId="5" xfId="0" applyNumberFormat="1" applyFont="1" applyFill="1" applyBorder="1"/>
    <xf numFmtId="10" fontId="21" fillId="13" borderId="5" xfId="0" applyNumberFormat="1" applyFont="1" applyFill="1" applyBorder="1"/>
    <xf numFmtId="10" fontId="21" fillId="13" borderId="6" xfId="0" applyNumberFormat="1" applyFont="1" applyFill="1" applyBorder="1"/>
    <xf numFmtId="0" fontId="18" fillId="0" borderId="0" xfId="0" applyFont="1"/>
    <xf numFmtId="0" fontId="0" fillId="0" borderId="0" xfId="0" applyAlignment="1">
      <alignment horizontal="center" vertical="center"/>
    </xf>
    <xf numFmtId="0" fontId="8" fillId="0" borderId="19" xfId="0" applyFont="1" applyFill="1" applyBorder="1" applyAlignment="1">
      <alignment horizontal="left" vertical="center"/>
    </xf>
    <xf numFmtId="0" fontId="8" fillId="0" borderId="19" xfId="0" applyFont="1" applyFill="1" applyBorder="1" applyAlignment="1">
      <alignment horizontal="left" vertical="center" wrapText="1"/>
    </xf>
    <xf numFmtId="0" fontId="8" fillId="0" borderId="19" xfId="0" applyFont="1" applyFill="1" applyBorder="1" applyAlignment="1">
      <alignment horizontal="center" vertical="center"/>
    </xf>
    <xf numFmtId="165" fontId="8" fillId="0" borderId="19" xfId="0" applyNumberFormat="1" applyFont="1" applyFill="1" applyBorder="1" applyAlignment="1">
      <alignment horizontal="right" vertical="center"/>
    </xf>
    <xf numFmtId="10" fontId="8" fillId="0" borderId="19" xfId="0" applyNumberFormat="1" applyFont="1" applyFill="1" applyBorder="1" applyAlignment="1">
      <alignment horizontal="center" vertical="center"/>
    </xf>
    <xf numFmtId="0" fontId="0" fillId="0" borderId="0" xfId="0" applyFill="1" applyAlignment="1">
      <alignment horizontal="center" vertical="center"/>
    </xf>
    <xf numFmtId="0" fontId="0" fillId="0" borderId="8" xfId="0" applyFont="1" applyFill="1" applyBorder="1" applyAlignment="1">
      <alignment horizontal="left" vertical="center"/>
    </xf>
    <xf numFmtId="0" fontId="0" fillId="0" borderId="8" xfId="0" applyFont="1" applyFill="1" applyBorder="1" applyAlignment="1">
      <alignment horizontal="left" vertical="center" wrapText="1"/>
    </xf>
    <xf numFmtId="0" fontId="0" fillId="0" borderId="8" xfId="0" applyFont="1" applyFill="1" applyBorder="1" applyAlignment="1">
      <alignment horizontal="center" vertical="center"/>
    </xf>
    <xf numFmtId="165" fontId="8" fillId="0" borderId="1" xfId="0" applyNumberFormat="1" applyFont="1" applyFill="1" applyBorder="1" applyAlignment="1">
      <alignment horizontal="right" vertical="center"/>
    </xf>
    <xf numFmtId="165" fontId="8" fillId="0" borderId="8" xfId="0" applyNumberFormat="1" applyFont="1" applyFill="1" applyBorder="1" applyAlignment="1">
      <alignment horizontal="right" vertical="center"/>
    </xf>
    <xf numFmtId="10" fontId="8" fillId="0" borderId="8" xfId="0" applyNumberFormat="1" applyFont="1" applyFill="1" applyBorder="1" applyAlignment="1">
      <alignment horizontal="center" vertical="center"/>
    </xf>
    <xf numFmtId="10" fontId="8" fillId="0" borderId="8" xfId="0" applyNumberFormat="1" applyFont="1" applyFill="1" applyBorder="1" applyAlignment="1">
      <alignment horizontal="right" vertical="center"/>
    </xf>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8" fillId="0" borderId="1" xfId="0" applyFont="1" applyFill="1" applyBorder="1" applyAlignment="1">
      <alignment horizontal="left" vertical="center"/>
    </xf>
    <xf numFmtId="0" fontId="8" fillId="0" borderId="1" xfId="0" applyFont="1" applyFill="1" applyBorder="1" applyAlignment="1">
      <alignment horizontal="center" vertical="center"/>
    </xf>
    <xf numFmtId="0" fontId="8" fillId="0" borderId="2" xfId="0" applyFont="1" applyFill="1" applyBorder="1" applyAlignment="1">
      <alignment horizontal="left" vertical="center"/>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xf>
    <xf numFmtId="10" fontId="8" fillId="0" borderId="1" xfId="0" applyNumberFormat="1" applyFont="1" applyFill="1" applyBorder="1" applyAlignment="1">
      <alignment horizontal="center" vertical="center"/>
    </xf>
    <xf numFmtId="0" fontId="0" fillId="0" borderId="2" xfId="0" applyFont="1" applyFill="1" applyBorder="1" applyAlignment="1">
      <alignment horizontal="center" vertical="center"/>
    </xf>
    <xf numFmtId="165" fontId="8" fillId="0" borderId="2" xfId="0" applyNumberFormat="1" applyFont="1" applyFill="1" applyBorder="1" applyAlignment="1">
      <alignment horizontal="right" vertical="center"/>
    </xf>
    <xf numFmtId="10" fontId="8" fillId="0" borderId="2" xfId="0" applyNumberFormat="1" applyFont="1" applyFill="1" applyBorder="1" applyAlignment="1">
      <alignment horizontal="center" vertical="center"/>
    </xf>
    <xf numFmtId="10" fontId="8" fillId="0" borderId="2" xfId="0" applyNumberFormat="1" applyFont="1" applyFill="1" applyBorder="1" applyAlignment="1">
      <alignment horizontal="right" vertical="center"/>
    </xf>
    <xf numFmtId="0" fontId="0" fillId="0" borderId="0" xfId="0" applyFill="1"/>
    <xf numFmtId="0" fontId="8" fillId="0" borderId="1" xfId="0" applyFont="1" applyFill="1" applyBorder="1"/>
    <xf numFmtId="0" fontId="0" fillId="0" borderId="1" xfId="0" applyFont="1" applyFill="1" applyBorder="1" applyAlignment="1">
      <alignment wrapText="1"/>
    </xf>
    <xf numFmtId="0" fontId="7" fillId="0" borderId="0" xfId="0" applyFont="1"/>
    <xf numFmtId="0" fontId="4" fillId="0" borderId="0" xfId="0" applyFont="1" applyBorder="1" applyAlignment="1">
      <alignment horizontal="right" wrapText="1"/>
    </xf>
    <xf numFmtId="0" fontId="22" fillId="16" borderId="13" xfId="0" applyFont="1" applyFill="1" applyBorder="1" applyAlignment="1">
      <alignment horizontal="right" vertical="center" wrapText="1"/>
    </xf>
    <xf numFmtId="165" fontId="22" fillId="16" borderId="13" xfId="0" applyNumberFormat="1" applyFont="1" applyFill="1" applyBorder="1" applyAlignment="1">
      <alignment horizontal="right" vertical="center" wrapText="1"/>
    </xf>
    <xf numFmtId="4" fontId="22" fillId="16" borderId="13" xfId="0" applyNumberFormat="1" applyFont="1" applyFill="1" applyBorder="1" applyAlignment="1">
      <alignment horizontal="center" vertical="center"/>
    </xf>
    <xf numFmtId="10" fontId="22" fillId="16" borderId="13" xfId="0" applyNumberFormat="1" applyFont="1" applyFill="1" applyBorder="1" applyAlignment="1">
      <alignment horizontal="center" vertical="center"/>
    </xf>
    <xf numFmtId="0" fontId="0" fillId="0" borderId="0" xfId="0" applyBorder="1"/>
    <xf numFmtId="0" fontId="20" fillId="0" borderId="4" xfId="0" applyFont="1" applyBorder="1"/>
    <xf numFmtId="171" fontId="20" fillId="0" borderId="5" xfId="0" applyNumberFormat="1" applyFont="1" applyBorder="1"/>
    <xf numFmtId="10" fontId="20" fillId="0" borderId="5" xfId="0" applyNumberFormat="1" applyFont="1" applyBorder="1"/>
    <xf numFmtId="165" fontId="8" fillId="0" borderId="0" xfId="0" applyNumberFormat="1" applyFont="1" applyBorder="1" applyAlignment="1">
      <alignment horizontal="right" vertical="center"/>
    </xf>
    <xf numFmtId="10" fontId="8" fillId="0" borderId="0" xfId="0" applyNumberFormat="1" applyFont="1" applyBorder="1" applyAlignment="1">
      <alignment horizontal="right" vertical="center"/>
    </xf>
    <xf numFmtId="4" fontId="0" fillId="0" borderId="0" xfId="0" applyNumberFormat="1" applyBorder="1"/>
    <xf numFmtId="44" fontId="0" fillId="0" borderId="0" xfId="2" applyFont="1" applyBorder="1"/>
    <xf numFmtId="0" fontId="8" fillId="0" borderId="0" xfId="0" applyFont="1" applyBorder="1" applyAlignment="1">
      <alignment horizontal="left" vertical="center" wrapText="1"/>
    </xf>
    <xf numFmtId="10" fontId="8" fillId="0" borderId="0" xfId="0" applyNumberFormat="1" applyFont="1" applyBorder="1" applyAlignment="1">
      <alignment horizontal="center" vertical="center"/>
    </xf>
    <xf numFmtId="0" fontId="8" fillId="11" borderId="18" xfId="0" applyFont="1" applyFill="1" applyBorder="1"/>
    <xf numFmtId="0" fontId="8" fillId="11" borderId="36" xfId="0" applyFont="1" applyFill="1" applyBorder="1" applyAlignment="1">
      <alignment wrapText="1"/>
    </xf>
    <xf numFmtId="0" fontId="8" fillId="11" borderId="40" xfId="0" applyFont="1" applyFill="1" applyBorder="1"/>
    <xf numFmtId="4" fontId="8" fillId="11" borderId="42" xfId="0" applyNumberFormat="1" applyFont="1" applyFill="1" applyBorder="1" applyAlignment="1">
      <alignment horizontal="left" vertical="center"/>
    </xf>
    <xf numFmtId="0" fontId="0" fillId="0" borderId="18" xfId="0" applyFont="1" applyBorder="1" applyAlignment="1">
      <alignment horizontal="center" vertical="center"/>
    </xf>
    <xf numFmtId="0" fontId="8" fillId="0" borderId="19" xfId="0" applyFont="1" applyBorder="1" applyAlignment="1">
      <alignment horizontal="center" vertical="center" wrapText="1"/>
    </xf>
    <xf numFmtId="0" fontId="8" fillId="0" borderId="19" xfId="0" applyFont="1" applyBorder="1" applyAlignment="1">
      <alignment horizontal="left" vertical="top" wrapText="1"/>
    </xf>
    <xf numFmtId="0" fontId="8" fillId="0" borderId="19" xfId="0" applyFont="1" applyBorder="1" applyAlignment="1">
      <alignment horizontal="center" wrapText="1"/>
    </xf>
    <xf numFmtId="39" fontId="8" fillId="0" borderId="19" xfId="0" applyNumberFormat="1" applyFont="1" applyBorder="1" applyAlignment="1"/>
    <xf numFmtId="10" fontId="8" fillId="0" borderId="19" xfId="0" applyNumberFormat="1" applyFont="1" applyBorder="1" applyAlignment="1">
      <alignment horizontal="center"/>
    </xf>
    <xf numFmtId="10" fontId="8" fillId="0" borderId="19" xfId="0" applyNumberFormat="1" applyFont="1" applyBorder="1"/>
    <xf numFmtId="0" fontId="0" fillId="0" borderId="40" xfId="0" applyFont="1" applyBorder="1" applyAlignment="1">
      <alignment horizontal="center" vertical="center"/>
    </xf>
    <xf numFmtId="0" fontId="8" fillId="0" borderId="41" xfId="0" applyFont="1" applyBorder="1" applyAlignment="1">
      <alignment horizontal="center" vertical="center" wrapText="1"/>
    </xf>
    <xf numFmtId="0" fontId="8" fillId="0" borderId="41" xfId="0" applyFont="1" applyBorder="1" applyAlignment="1">
      <alignment horizontal="left" vertical="center" wrapText="1"/>
    </xf>
    <xf numFmtId="0" fontId="8" fillId="0" borderId="32" xfId="0" applyFont="1" applyBorder="1" applyAlignment="1">
      <alignment horizontal="center" wrapText="1"/>
    </xf>
    <xf numFmtId="39" fontId="8" fillId="0" borderId="41" xfId="0" applyNumberFormat="1" applyFont="1" applyBorder="1" applyAlignment="1"/>
    <xf numFmtId="10" fontId="8" fillId="0" borderId="41" xfId="0" applyNumberFormat="1" applyFont="1" applyBorder="1" applyAlignment="1">
      <alignment horizontal="center"/>
    </xf>
    <xf numFmtId="0" fontId="15" fillId="0" borderId="31" xfId="0" applyFont="1" applyBorder="1" applyAlignment="1">
      <alignment horizontal="right" wrapText="1"/>
    </xf>
    <xf numFmtId="0" fontId="15" fillId="0" borderId="31" xfId="0" applyFont="1" applyBorder="1" applyAlignment="1">
      <alignment horizontal="center" wrapText="1"/>
    </xf>
    <xf numFmtId="4" fontId="4" fillId="0" borderId="33" xfId="0" applyNumberFormat="1" applyFont="1" applyBorder="1" applyAlignment="1">
      <alignment horizontal="center"/>
    </xf>
    <xf numFmtId="10" fontId="4" fillId="0" borderId="33" xfId="0" applyNumberFormat="1" applyFont="1" applyBorder="1" applyAlignment="1">
      <alignment horizontal="center"/>
    </xf>
    <xf numFmtId="0" fontId="8" fillId="17" borderId="18" xfId="0" applyFont="1" applyFill="1" applyBorder="1"/>
    <xf numFmtId="0" fontId="8" fillId="17" borderId="36" xfId="0" applyFont="1" applyFill="1" applyBorder="1" applyAlignment="1">
      <alignment wrapText="1"/>
    </xf>
    <xf numFmtId="0" fontId="8" fillId="17" borderId="40" xfId="0" applyFont="1" applyFill="1" applyBorder="1"/>
    <xf numFmtId="4" fontId="8" fillId="17" borderId="42" xfId="0" applyNumberFormat="1" applyFont="1" applyFill="1" applyBorder="1" applyAlignment="1">
      <alignment horizontal="left" vertical="center"/>
    </xf>
    <xf numFmtId="0" fontId="8" fillId="0" borderId="8" xfId="0" applyFont="1" applyBorder="1" applyAlignment="1">
      <alignment horizontal="center" vertical="center"/>
    </xf>
    <xf numFmtId="0" fontId="8" fillId="0" borderId="8" xfId="0" applyFont="1" applyBorder="1" applyAlignment="1">
      <alignment horizontal="center" vertical="center" wrapText="1"/>
    </xf>
    <xf numFmtId="0" fontId="8" fillId="0" borderId="8" xfId="0" applyFont="1" applyBorder="1" applyAlignment="1">
      <alignment horizontal="left" vertical="center" wrapText="1"/>
    </xf>
    <xf numFmtId="39" fontId="8" fillId="0" borderId="8" xfId="0" applyNumberFormat="1" applyFont="1" applyBorder="1" applyAlignment="1">
      <alignment horizontal="right"/>
    </xf>
    <xf numFmtId="10" fontId="8" fillId="0" borderId="8" xfId="0" applyNumberFormat="1" applyFont="1" applyBorder="1" applyAlignment="1">
      <alignment horizontal="center"/>
    </xf>
    <xf numFmtId="10" fontId="8" fillId="0" borderId="8" xfId="0" applyNumberFormat="1" applyFont="1" applyBorder="1"/>
    <xf numFmtId="0" fontId="8" fillId="0" borderId="1" xfId="0" applyFont="1" applyBorder="1" applyAlignment="1">
      <alignment horizontal="left" vertical="top" wrapText="1"/>
    </xf>
    <xf numFmtId="0" fontId="8" fillId="0" borderId="8" xfId="0" applyFont="1" applyBorder="1" applyAlignment="1">
      <alignment horizontal="center" wrapText="1"/>
    </xf>
    <xf numFmtId="39" fontId="8" fillId="0" borderId="1" xfId="0" applyNumberFormat="1" applyFont="1" applyBorder="1" applyAlignment="1">
      <alignment horizontal="right"/>
    </xf>
    <xf numFmtId="0" fontId="8" fillId="0" borderId="2" xfId="0" applyFont="1" applyBorder="1" applyAlignment="1">
      <alignment horizontal="center" wrapText="1"/>
    </xf>
    <xf numFmtId="39" fontId="8" fillId="0" borderId="2" xfId="0" applyNumberFormat="1" applyFont="1" applyBorder="1" applyAlignment="1">
      <alignment horizontal="right"/>
    </xf>
    <xf numFmtId="10" fontId="8" fillId="0" borderId="2" xfId="0" applyNumberFormat="1" applyFont="1" applyBorder="1" applyAlignment="1">
      <alignment horizontal="center"/>
    </xf>
    <xf numFmtId="4" fontId="8" fillId="0" borderId="2" xfId="0" applyNumberFormat="1" applyFont="1" applyBorder="1"/>
    <xf numFmtId="10" fontId="8" fillId="0" borderId="2" xfId="0" applyNumberFormat="1" applyFont="1" applyBorder="1"/>
    <xf numFmtId="0" fontId="8" fillId="0" borderId="0" xfId="0" applyFont="1" applyBorder="1" applyAlignment="1">
      <alignment horizontal="center" vertical="center" wrapText="1"/>
    </xf>
    <xf numFmtId="0" fontId="4" fillId="0" borderId="13" xfId="0" applyFont="1" applyBorder="1" applyAlignment="1">
      <alignment horizontal="right" wrapText="1"/>
    </xf>
    <xf numFmtId="0" fontId="4" fillId="0" borderId="34" xfId="0" applyFont="1" applyBorder="1" applyAlignment="1">
      <alignment horizontal="center" wrapText="1"/>
    </xf>
    <xf numFmtId="39" fontId="6" fillId="0" borderId="34" xfId="0" applyNumberFormat="1" applyFont="1" applyBorder="1" applyAlignment="1">
      <alignment horizontal="right"/>
    </xf>
    <xf numFmtId="10" fontId="6" fillId="0" borderId="4" xfId="0" applyNumberFormat="1" applyFont="1" applyBorder="1" applyAlignment="1">
      <alignment horizontal="center"/>
    </xf>
    <xf numFmtId="0" fontId="8" fillId="12" borderId="1" xfId="0" applyFont="1" applyFill="1" applyBorder="1" applyAlignment="1">
      <alignment horizontal="center" vertical="center"/>
    </xf>
    <xf numFmtId="0" fontId="23" fillId="12" borderId="8" xfId="0" applyFont="1" applyFill="1" applyBorder="1" applyAlignment="1">
      <alignment horizontal="center" vertical="center" wrapText="1"/>
    </xf>
    <xf numFmtId="0" fontId="23" fillId="12" borderId="1" xfId="0" applyFont="1" applyFill="1" applyBorder="1" applyAlignment="1">
      <alignment horizontal="left" vertical="center" wrapText="1"/>
    </xf>
    <xf numFmtId="0" fontId="8" fillId="12" borderId="1" xfId="0" applyFont="1" applyFill="1" applyBorder="1" applyAlignment="1">
      <alignment horizontal="center" wrapText="1"/>
    </xf>
    <xf numFmtId="39" fontId="8" fillId="12" borderId="1" xfId="0" applyNumberFormat="1" applyFont="1" applyFill="1" applyBorder="1" applyAlignment="1">
      <alignment horizontal="right"/>
    </xf>
    <xf numFmtId="10" fontId="8" fillId="12" borderId="8" xfId="0" applyNumberFormat="1" applyFont="1" applyFill="1" applyBorder="1" applyAlignment="1">
      <alignment horizontal="center"/>
    </xf>
    <xf numFmtId="10" fontId="8" fillId="12" borderId="8" xfId="0" applyNumberFormat="1" applyFont="1" applyFill="1" applyBorder="1"/>
    <xf numFmtId="0" fontId="5" fillId="0" borderId="0" xfId="0" applyFont="1" applyAlignment="1">
      <alignment horizontal="center" vertical="center" wrapText="1"/>
    </xf>
    <xf numFmtId="0" fontId="8" fillId="0" borderId="1" xfId="0" applyFont="1" applyBorder="1" applyAlignment="1">
      <alignment horizontal="center" wrapText="1"/>
    </xf>
    <xf numFmtId="10" fontId="8" fillId="0" borderId="1" xfId="0" applyNumberFormat="1" applyFont="1" applyBorder="1"/>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10" fontId="8" fillId="0" borderId="7" xfId="0" applyNumberFormat="1" applyFont="1" applyBorder="1" applyAlignment="1">
      <alignment horizontal="center"/>
    </xf>
    <xf numFmtId="10" fontId="8" fillId="0" borderId="7" xfId="0" applyNumberFormat="1" applyFont="1" applyBorder="1"/>
    <xf numFmtId="10" fontId="8" fillId="0" borderId="1" xfId="0" applyNumberFormat="1" applyFont="1" applyBorder="1" applyAlignment="1">
      <alignment horizontal="center"/>
    </xf>
    <xf numFmtId="0" fontId="4" fillId="0" borderId="33" xfId="0" applyFont="1" applyBorder="1" applyAlignment="1">
      <alignment horizontal="right" wrapText="1"/>
    </xf>
    <xf numFmtId="0" fontId="4" fillId="0" borderId="31" xfId="0" applyFont="1" applyBorder="1" applyAlignment="1">
      <alignment horizontal="center" wrapText="1"/>
    </xf>
    <xf numFmtId="39" fontId="6" fillId="0" borderId="49" xfId="0" applyNumberFormat="1" applyFont="1" applyBorder="1" applyAlignment="1">
      <alignment horizontal="right"/>
    </xf>
    <xf numFmtId="10" fontId="6" fillId="0" borderId="1" xfId="0" applyNumberFormat="1" applyFont="1" applyBorder="1" applyAlignment="1">
      <alignment horizontal="center"/>
    </xf>
    <xf numFmtId="0" fontId="8" fillId="0" borderId="2" xfId="0" applyFont="1" applyBorder="1" applyAlignment="1">
      <alignment horizontal="left" vertical="top" wrapText="1"/>
    </xf>
    <xf numFmtId="0" fontId="16" fillId="0" borderId="0" xfId="0" applyFont="1"/>
    <xf numFmtId="39" fontId="6" fillId="0" borderId="4" xfId="0" applyNumberFormat="1" applyFont="1" applyBorder="1" applyAlignment="1">
      <alignment horizontal="right"/>
    </xf>
    <xf numFmtId="10" fontId="6" fillId="0" borderId="5" xfId="0" applyNumberFormat="1" applyFont="1" applyBorder="1" applyAlignment="1">
      <alignment horizontal="center"/>
    </xf>
    <xf numFmtId="10" fontId="6" fillId="0" borderId="5" xfId="0" applyNumberFormat="1" applyFont="1" applyBorder="1"/>
    <xf numFmtId="10" fontId="6" fillId="0" borderId="6" xfId="0" applyNumberFormat="1" applyFont="1" applyBorder="1"/>
    <xf numFmtId="0" fontId="4" fillId="0" borderId="34" xfId="0" applyFont="1" applyBorder="1" applyAlignment="1">
      <alignment horizontal="right" wrapText="1"/>
    </xf>
    <xf numFmtId="171" fontId="4" fillId="0" borderId="33" xfId="0" applyNumberFormat="1" applyFont="1" applyBorder="1" applyAlignment="1">
      <alignment horizontal="right"/>
    </xf>
    <xf numFmtId="0" fontId="7" fillId="0" borderId="0" xfId="0" applyFont="1" applyAlignment="1">
      <alignment wrapText="1"/>
    </xf>
    <xf numFmtId="0" fontId="7" fillId="0" borderId="0" xfId="0" applyFont="1" applyAlignment="1">
      <alignment horizontal="center" wrapText="1"/>
    </xf>
    <xf numFmtId="0" fontId="7" fillId="0" borderId="0" xfId="0" applyFont="1" applyBorder="1" applyAlignment="1">
      <alignment wrapText="1"/>
    </xf>
    <xf numFmtId="0" fontId="7" fillId="0" borderId="0" xfId="0" applyFont="1" applyBorder="1" applyAlignment="1">
      <alignment horizontal="center" wrapText="1"/>
    </xf>
    <xf numFmtId="0" fontId="4" fillId="0" borderId="0" xfId="0" applyFont="1" applyBorder="1" applyAlignment="1">
      <alignment horizontal="center" wrapText="1"/>
    </xf>
    <xf numFmtId="0" fontId="3" fillId="0" borderId="0" xfId="0" applyFont="1" applyBorder="1" applyAlignment="1">
      <alignment wrapText="1"/>
    </xf>
    <xf numFmtId="0" fontId="3" fillId="0" borderId="0" xfId="0" applyFont="1" applyBorder="1" applyAlignment="1">
      <alignment horizontal="center" wrapText="1"/>
    </xf>
    <xf numFmtId="4" fontId="24" fillId="0" borderId="13" xfId="0" applyNumberFormat="1" applyFont="1" applyFill="1" applyBorder="1"/>
    <xf numFmtId="10" fontId="24" fillId="0" borderId="13" xfId="0" applyNumberFormat="1" applyFont="1" applyFill="1" applyBorder="1"/>
    <xf numFmtId="0" fontId="16" fillId="0" borderId="0" xfId="0" applyFont="1" applyFill="1" applyAlignment="1">
      <alignment horizontal="center"/>
    </xf>
    <xf numFmtId="0" fontId="25" fillId="0" borderId="0" xfId="0" applyFont="1" applyAlignment="1"/>
    <xf numFmtId="172" fontId="25" fillId="0" borderId="0" xfId="0" applyNumberFormat="1" applyFont="1" applyAlignment="1"/>
    <xf numFmtId="174" fontId="25" fillId="0" borderId="0" xfId="0" applyNumberFormat="1" applyFont="1" applyAlignment="1"/>
    <xf numFmtId="172" fontId="12" fillId="0" borderId="0" xfId="0" applyNumberFormat="1" applyFont="1" applyAlignment="1">
      <alignment horizontal="center"/>
    </xf>
    <xf numFmtId="0" fontId="8" fillId="18" borderId="1" xfId="0" applyFont="1" applyFill="1" applyBorder="1"/>
    <xf numFmtId="0" fontId="26" fillId="0" borderId="0" xfId="0" applyFont="1" applyFill="1" applyBorder="1"/>
    <xf numFmtId="0" fontId="8" fillId="0" borderId="0" xfId="0" applyFont="1" applyFill="1" applyBorder="1" applyAlignment="1">
      <alignment horizontal="center"/>
    </xf>
    <xf numFmtId="0" fontId="8" fillId="0" borderId="0" xfId="0" applyFont="1" applyFill="1" applyBorder="1"/>
    <xf numFmtId="0" fontId="6" fillId="19" borderId="1" xfId="0" applyFont="1" applyFill="1" applyBorder="1" applyAlignment="1">
      <alignment horizontal="center" vertical="center" wrapText="1"/>
    </xf>
    <xf numFmtId="0" fontId="6" fillId="19" borderId="26" xfId="0" applyFont="1" applyFill="1" applyBorder="1" applyAlignment="1">
      <alignment horizontal="center" vertical="center" wrapText="1"/>
    </xf>
    <xf numFmtId="0" fontId="8" fillId="0" borderId="0" xfId="0" applyFont="1" applyBorder="1" applyAlignment="1"/>
    <xf numFmtId="0" fontId="11" fillId="0" borderId="0" xfId="0" applyFont="1" applyBorder="1"/>
    <xf numFmtId="0" fontId="0" fillId="0" borderId="0" xfId="0" applyBorder="1" applyAlignment="1"/>
    <xf numFmtId="0" fontId="8" fillId="0" borderId="1" xfId="0" applyFont="1" applyFill="1" applyBorder="1" applyAlignment="1">
      <alignment horizontal="center"/>
    </xf>
    <xf numFmtId="4" fontId="0" fillId="0" borderId="1" xfId="0" applyNumberFormat="1" applyFont="1" applyFill="1" applyBorder="1"/>
    <xf numFmtId="10" fontId="0" fillId="0" borderId="1" xfId="1" applyNumberFormat="1" applyFont="1" applyFill="1" applyBorder="1"/>
    <xf numFmtId="175" fontId="0" fillId="0" borderId="0" xfId="1" applyNumberFormat="1" applyFont="1"/>
    <xf numFmtId="0" fontId="8" fillId="18" borderId="41" xfId="0" applyFont="1" applyFill="1" applyBorder="1" applyAlignment="1">
      <alignment horizontal="center"/>
    </xf>
    <xf numFmtId="0" fontId="8" fillId="18" borderId="41" xfId="0" applyFont="1" applyFill="1" applyBorder="1" applyAlignment="1">
      <alignment vertical="center"/>
    </xf>
    <xf numFmtId="4" fontId="8" fillId="18" borderId="41" xfId="0" applyNumberFormat="1" applyFont="1" applyFill="1" applyBorder="1"/>
    <xf numFmtId="4" fontId="8" fillId="18" borderId="51" xfId="0" applyNumberFormat="1" applyFont="1" applyFill="1" applyBorder="1"/>
    <xf numFmtId="10" fontId="8" fillId="18" borderId="41" xfId="1" applyNumberFormat="1" applyFont="1" applyFill="1" applyBorder="1"/>
    <xf numFmtId="4" fontId="27" fillId="18" borderId="41" xfId="0" applyNumberFormat="1" applyFont="1" applyFill="1" applyBorder="1" applyAlignment="1">
      <alignment horizontal="center"/>
    </xf>
    <xf numFmtId="0" fontId="8" fillId="18" borderId="1" xfId="0" applyFont="1" applyFill="1" applyBorder="1" applyAlignment="1">
      <alignment horizontal="center"/>
    </xf>
    <xf numFmtId="4" fontId="8" fillId="18" borderId="1" xfId="0" applyNumberFormat="1" applyFont="1" applyFill="1" applyBorder="1"/>
    <xf numFmtId="4" fontId="8" fillId="18" borderId="26" xfId="0" applyNumberFormat="1" applyFont="1" applyFill="1" applyBorder="1"/>
    <xf numFmtId="10" fontId="8" fillId="18" borderId="1" xfId="1" applyNumberFormat="1" applyFont="1" applyFill="1" applyBorder="1"/>
    <xf numFmtId="0" fontId="11" fillId="0" borderId="1" xfId="0" applyFont="1" applyFill="1" applyBorder="1"/>
    <xf numFmtId="10" fontId="8" fillId="0" borderId="1" xfId="1" applyNumberFormat="1" applyFont="1" applyFill="1" applyBorder="1"/>
    <xf numFmtId="4" fontId="11" fillId="0" borderId="26" xfId="0" applyNumberFormat="1" applyFont="1" applyFill="1" applyBorder="1" applyAlignment="1"/>
    <xf numFmtId="10" fontId="11" fillId="0" borderId="1" xfId="1" applyNumberFormat="1" applyFont="1" applyFill="1" applyBorder="1"/>
    <xf numFmtId="0" fontId="8" fillId="18" borderId="8" xfId="0" applyFont="1" applyFill="1" applyBorder="1" applyAlignment="1">
      <alignment horizontal="center"/>
    </xf>
    <xf numFmtId="0" fontId="8" fillId="18" borderId="8" xfId="0" applyFont="1" applyFill="1" applyBorder="1" applyAlignment="1">
      <alignment vertical="center"/>
    </xf>
    <xf numFmtId="4" fontId="8" fillId="18" borderId="8" xfId="0" applyNumberFormat="1" applyFont="1" applyFill="1" applyBorder="1"/>
    <xf numFmtId="4" fontId="8" fillId="18" borderId="20" xfId="0" applyNumberFormat="1" applyFont="1" applyFill="1" applyBorder="1"/>
    <xf numFmtId="10" fontId="8" fillId="18" borderId="8" xfId="1" applyNumberFormat="1" applyFont="1" applyFill="1" applyBorder="1"/>
    <xf numFmtId="4" fontId="27" fillId="18" borderId="8" xfId="0" applyNumberFormat="1" applyFont="1" applyFill="1" applyBorder="1" applyAlignment="1">
      <alignment horizontal="center"/>
    </xf>
    <xf numFmtId="0" fontId="11" fillId="0" borderId="1" xfId="0" applyFont="1" applyBorder="1" applyAlignment="1">
      <alignment vertical="center"/>
    </xf>
    <xf numFmtId="0" fontId="8" fillId="0" borderId="1" xfId="0" applyFont="1" applyBorder="1" applyAlignment="1">
      <alignment vertical="center"/>
    </xf>
    <xf numFmtId="4" fontId="11" fillId="0" borderId="1" xfId="0" applyNumberFormat="1" applyFont="1" applyFill="1" applyBorder="1"/>
    <xf numFmtId="4" fontId="27" fillId="18" borderId="1" xfId="0" applyNumberFormat="1" applyFont="1" applyFill="1" applyBorder="1" applyAlignment="1">
      <alignment horizontal="center"/>
    </xf>
    <xf numFmtId="4" fontId="8" fillId="0" borderId="26" xfId="0" applyNumberFormat="1" applyFont="1" applyFill="1" applyBorder="1"/>
    <xf numFmtId="4" fontId="8" fillId="0" borderId="26" xfId="0" applyNumberFormat="1" applyFont="1" applyFill="1" applyBorder="1" applyAlignment="1"/>
    <xf numFmtId="0" fontId="8" fillId="18" borderId="41" xfId="0" applyFont="1" applyFill="1" applyBorder="1"/>
    <xf numFmtId="0" fontId="8" fillId="18" borderId="8" xfId="0" applyFont="1" applyFill="1" applyBorder="1"/>
    <xf numFmtId="0" fontId="8" fillId="18" borderId="7" xfId="0" applyFont="1" applyFill="1" applyBorder="1"/>
    <xf numFmtId="4" fontId="8" fillId="18" borderId="7" xfId="0" applyNumberFormat="1" applyFont="1" applyFill="1" applyBorder="1"/>
    <xf numFmtId="0" fontId="6" fillId="0" borderId="0" xfId="0" applyFont="1" applyFill="1" applyBorder="1" applyAlignment="1"/>
    <xf numFmtId="0" fontId="8" fillId="18" borderId="30" xfId="0" applyFont="1" applyFill="1" applyBorder="1"/>
    <xf numFmtId="0" fontId="0" fillId="0" borderId="0" xfId="0" applyFill="1" applyBorder="1" applyAlignment="1">
      <alignment vertical="center"/>
    </xf>
    <xf numFmtId="0" fontId="11" fillId="0" borderId="0" xfId="0" applyFont="1" applyFill="1"/>
    <xf numFmtId="0" fontId="11" fillId="0" borderId="0" xfId="0" applyFont="1" applyFill="1" applyBorder="1" applyAlignment="1">
      <alignment vertical="center"/>
    </xf>
    <xf numFmtId="0" fontId="2" fillId="0" borderId="0" xfId="0" applyFont="1"/>
    <xf numFmtId="0" fontId="11" fillId="0" borderId="30" xfId="0" applyFont="1" applyFill="1" applyBorder="1"/>
    <xf numFmtId="0" fontId="8" fillId="0" borderId="0" xfId="0" applyFont="1" applyBorder="1" applyAlignment="1">
      <alignment vertical="center"/>
    </xf>
    <xf numFmtId="0" fontId="8" fillId="18" borderId="1" xfId="0" applyFont="1" applyFill="1" applyBorder="1" applyAlignment="1">
      <alignment horizontal="left"/>
    </xf>
    <xf numFmtId="0" fontId="8" fillId="0" borderId="0" xfId="0" applyFont="1" applyFill="1" applyBorder="1" applyAlignment="1">
      <alignment vertical="center"/>
    </xf>
    <xf numFmtId="0" fontId="8" fillId="0" borderId="1" xfId="0" applyFont="1" applyBorder="1" applyAlignment="1">
      <alignment wrapText="1"/>
    </xf>
    <xf numFmtId="0" fontId="6" fillId="0" borderId="0" xfId="0" applyFont="1" applyFill="1" applyBorder="1" applyAlignment="1">
      <alignment horizontal="left"/>
    </xf>
    <xf numFmtId="0" fontId="16" fillId="19" borderId="26" xfId="0" applyFont="1" applyFill="1" applyBorder="1" applyAlignment="1">
      <alignment horizontal="left"/>
    </xf>
    <xf numFmtId="0" fontId="16" fillId="19" borderId="30" xfId="0" applyFont="1" applyFill="1" applyBorder="1" applyAlignment="1">
      <alignment horizontal="left"/>
    </xf>
    <xf numFmtId="3" fontId="16" fillId="19" borderId="1" xfId="0" applyNumberFormat="1" applyFont="1" applyFill="1" applyBorder="1"/>
    <xf numFmtId="4" fontId="16" fillId="19" borderId="1" xfId="0" applyNumberFormat="1" applyFont="1" applyFill="1" applyBorder="1"/>
    <xf numFmtId="10" fontId="16" fillId="19" borderId="1" xfId="1" applyNumberFormat="1" applyFont="1" applyFill="1" applyBorder="1"/>
    <xf numFmtId="0" fontId="23" fillId="0" borderId="0" xfId="0" applyFont="1" applyFill="1" applyBorder="1" applyAlignment="1">
      <alignment vertical="center"/>
    </xf>
    <xf numFmtId="0" fontId="16" fillId="0" borderId="0" xfId="0" applyFont="1" applyFill="1" applyBorder="1" applyAlignment="1">
      <alignment horizontal="left"/>
    </xf>
    <xf numFmtId="4" fontId="16" fillId="0" borderId="0" xfId="0" applyNumberFormat="1" applyFont="1" applyFill="1" applyBorder="1"/>
    <xf numFmtId="10" fontId="16" fillId="0" borderId="0" xfId="1" applyNumberFormat="1" applyFont="1" applyFill="1" applyBorder="1"/>
    <xf numFmtId="168" fontId="0" fillId="0" borderId="0" xfId="1" applyNumberFormat="1" applyFont="1"/>
    <xf numFmtId="0" fontId="8" fillId="18" borderId="1" xfId="0" applyFont="1" applyFill="1" applyBorder="1" applyAlignment="1">
      <alignment horizontal="left" vertical="center"/>
    </xf>
    <xf numFmtId="0" fontId="8" fillId="0" borderId="1" xfId="0" applyFont="1" applyBorder="1" applyAlignment="1">
      <alignment horizontal="center"/>
    </xf>
    <xf numFmtId="0" fontId="0" fillId="0" borderId="0" xfId="0" applyBorder="1" applyAlignment="1">
      <alignment horizontal="center"/>
    </xf>
    <xf numFmtId="0" fontId="16" fillId="0" borderId="0" xfId="0" applyFont="1" applyFill="1" applyBorder="1" applyAlignment="1">
      <alignment horizontal="center" vertical="center" wrapText="1"/>
    </xf>
    <xf numFmtId="10" fontId="16" fillId="0" borderId="0" xfId="1" applyNumberFormat="1" applyFont="1" applyFill="1" applyBorder="1" applyAlignment="1">
      <alignment horizontal="right"/>
    </xf>
    <xf numFmtId="177" fontId="28" fillId="0" borderId="0" xfId="0" applyNumberFormat="1" applyFont="1" applyBorder="1"/>
    <xf numFmtId="4" fontId="8" fillId="18" borderId="56" xfId="0" applyNumberFormat="1" applyFont="1" applyFill="1" applyBorder="1"/>
    <xf numFmtId="3" fontId="11" fillId="0" borderId="0" xfId="0" applyNumberFormat="1" applyFont="1"/>
    <xf numFmtId="0" fontId="30" fillId="0" borderId="0" xfId="0" applyFont="1" applyFill="1" applyBorder="1" applyAlignment="1">
      <alignment horizontal="left"/>
    </xf>
    <xf numFmtId="0" fontId="16" fillId="0" borderId="0" xfId="0" applyFont="1" applyFill="1" applyBorder="1"/>
    <xf numFmtId="4" fontId="11" fillId="0" borderId="0" xfId="0" applyNumberFormat="1" applyFont="1"/>
    <xf numFmtId="0" fontId="16" fillId="19" borderId="3" xfId="0" applyFont="1" applyFill="1" applyBorder="1" applyAlignment="1">
      <alignment horizontal="left"/>
    </xf>
    <xf numFmtId="0" fontId="6" fillId="19" borderId="26" xfId="0" applyFont="1" applyFill="1" applyBorder="1" applyAlignment="1">
      <alignment vertical="center" wrapText="1"/>
    </xf>
    <xf numFmtId="0" fontId="6" fillId="19" borderId="30" xfId="0" applyFont="1" applyFill="1" applyBorder="1" applyAlignment="1">
      <alignment horizontal="center" vertical="center" wrapText="1"/>
    </xf>
    <xf numFmtId="4" fontId="0" fillId="18" borderId="26" xfId="0" applyNumberFormat="1" applyFont="1" applyFill="1" applyBorder="1" applyAlignment="1">
      <alignment horizontal="left"/>
    </xf>
    <xf numFmtId="4" fontId="0" fillId="18" borderId="30" xfId="0" applyNumberFormat="1" applyFont="1" applyFill="1" applyBorder="1" applyAlignment="1">
      <alignment horizontal="left"/>
    </xf>
    <xf numFmtId="4" fontId="8" fillId="18" borderId="26" xfId="0" applyNumberFormat="1" applyFont="1" applyFill="1" applyBorder="1" applyAlignment="1">
      <alignment horizontal="left"/>
    </xf>
    <xf numFmtId="4" fontId="8" fillId="18" borderId="30" xfId="0" applyNumberFormat="1" applyFont="1" applyFill="1" applyBorder="1" applyAlignment="1">
      <alignment horizontal="left"/>
    </xf>
    <xf numFmtId="0" fontId="8" fillId="0" borderId="1" xfId="0" applyFont="1" applyFill="1" applyBorder="1" applyAlignment="1"/>
    <xf numFmtId="4" fontId="27" fillId="0" borderId="1" xfId="0" applyNumberFormat="1" applyFont="1" applyFill="1" applyBorder="1" applyAlignment="1">
      <alignment horizontal="center"/>
    </xf>
    <xf numFmtId="4" fontId="31" fillId="0" borderId="1" xfId="0" applyNumberFormat="1" applyFont="1" applyFill="1" applyBorder="1" applyAlignment="1">
      <alignment horizontal="right" vertical="center"/>
    </xf>
    <xf numFmtId="0" fontId="16" fillId="5" borderId="26" xfId="0" applyFont="1" applyFill="1" applyBorder="1" applyAlignment="1">
      <alignment horizontal="left"/>
    </xf>
    <xf numFmtId="0" fontId="16" fillId="5" borderId="30" xfId="0" applyFont="1" applyFill="1" applyBorder="1" applyAlignment="1">
      <alignment horizontal="left"/>
    </xf>
    <xf numFmtId="4" fontId="16" fillId="5" borderId="1" xfId="0" applyNumberFormat="1" applyFont="1" applyFill="1" applyBorder="1"/>
    <xf numFmtId="10" fontId="16" fillId="5" borderId="1" xfId="1" applyNumberFormat="1" applyFont="1" applyFill="1" applyBorder="1"/>
    <xf numFmtId="0" fontId="23" fillId="0" borderId="0" xfId="0" applyFont="1" applyBorder="1" applyAlignment="1">
      <alignment vertical="center" wrapText="1"/>
    </xf>
    <xf numFmtId="0" fontId="23" fillId="0" borderId="0" xfId="0" applyFont="1" applyAlignment="1">
      <alignment vertical="center" wrapText="1"/>
    </xf>
    <xf numFmtId="3" fontId="8" fillId="0" borderId="1" xfId="0" applyNumberFormat="1" applyFont="1" applyFill="1" applyBorder="1" applyAlignment="1">
      <alignment horizontal="center"/>
    </xf>
    <xf numFmtId="4" fontId="8" fillId="0" borderId="1" xfId="0" applyNumberFormat="1" applyFont="1" applyFill="1" applyBorder="1" applyAlignment="1">
      <alignment horizontal="center"/>
    </xf>
    <xf numFmtId="4" fontId="6" fillId="0" borderId="0" xfId="0" applyNumberFormat="1" applyFont="1" applyFill="1" applyBorder="1" applyAlignment="1">
      <alignment horizontal="left"/>
    </xf>
    <xf numFmtId="4" fontId="6" fillId="0" borderId="0" xfId="0" applyNumberFormat="1" applyFont="1" applyFill="1" applyBorder="1" applyAlignment="1"/>
    <xf numFmtId="0" fontId="8" fillId="0" borderId="0" xfId="0" applyFont="1" applyFill="1" applyBorder="1" applyAlignment="1">
      <alignment horizontal="left"/>
    </xf>
    <xf numFmtId="4" fontId="8" fillId="0" borderId="0" xfId="0" applyNumberFormat="1" applyFont="1" applyFill="1" applyBorder="1"/>
    <xf numFmtId="0" fontId="8" fillId="0" borderId="1" xfId="0" applyFont="1" applyFill="1" applyBorder="1" applyAlignment="1">
      <alignment horizontal="left"/>
    </xf>
    <xf numFmtId="4" fontId="8" fillId="0" borderId="0" xfId="0" applyNumberFormat="1" applyFont="1" applyFill="1" applyBorder="1" applyAlignment="1">
      <alignment horizontal="left"/>
    </xf>
    <xf numFmtId="4" fontId="16" fillId="21" borderId="26" xfId="0" applyNumberFormat="1" applyFont="1" applyFill="1" applyBorder="1" applyAlignment="1">
      <alignment horizontal="left"/>
    </xf>
    <xf numFmtId="4" fontId="16" fillId="21" borderId="3" xfId="0" applyNumberFormat="1" applyFont="1" applyFill="1" applyBorder="1" applyAlignment="1">
      <alignment horizontal="left"/>
    </xf>
    <xf numFmtId="4" fontId="16" fillId="21" borderId="30" xfId="0" applyNumberFormat="1" applyFont="1" applyFill="1" applyBorder="1" applyAlignment="1">
      <alignment horizontal="left"/>
    </xf>
    <xf numFmtId="4" fontId="16" fillId="21" borderId="1" xfId="0" applyNumberFormat="1" applyFont="1" applyFill="1" applyBorder="1" applyAlignment="1"/>
    <xf numFmtId="4" fontId="16" fillId="21" borderId="1" xfId="0" applyNumberFormat="1" applyFont="1" applyFill="1" applyBorder="1" applyAlignment="1">
      <alignment horizontal="center"/>
    </xf>
    <xf numFmtId="0" fontId="8" fillId="8" borderId="1" xfId="0" applyFont="1" applyFill="1" applyBorder="1"/>
    <xf numFmtId="0" fontId="8" fillId="5" borderId="1" xfId="0" applyFont="1" applyFill="1" applyBorder="1" applyAlignment="1">
      <alignment horizontal="center"/>
    </xf>
    <xf numFmtId="0" fontId="0" fillId="5" borderId="26" xfId="0" applyFill="1" applyBorder="1" applyAlignment="1">
      <alignment horizontal="center"/>
    </xf>
    <xf numFmtId="0" fontId="0" fillId="5" borderId="30" xfId="0" applyFill="1" applyBorder="1" applyAlignment="1">
      <alignment horizontal="center"/>
    </xf>
    <xf numFmtId="0" fontId="8" fillId="5" borderId="1" xfId="0" applyFont="1" applyFill="1" applyBorder="1"/>
    <xf numFmtId="0" fontId="8" fillId="0" borderId="26" xfId="0" applyFont="1" applyFill="1" applyBorder="1" applyAlignment="1">
      <alignment horizontal="center"/>
    </xf>
    <xf numFmtId="2" fontId="8" fillId="0" borderId="26" xfId="0" applyNumberFormat="1" applyFont="1" applyFill="1" applyBorder="1"/>
    <xf numFmtId="0" fontId="32" fillId="0" borderId="0" xfId="0" applyFont="1" applyFill="1" applyBorder="1" applyAlignment="1">
      <alignment vertical="center"/>
    </xf>
    <xf numFmtId="0" fontId="6"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4" fontId="8" fillId="0" borderId="0" xfId="0" applyNumberFormat="1" applyFont="1" applyFill="1" applyBorder="1" applyAlignment="1">
      <alignment vertical="center"/>
    </xf>
    <xf numFmtId="0" fontId="31" fillId="0" borderId="0" xfId="0" applyFont="1" applyFill="1" applyBorder="1" applyAlignment="1">
      <alignment vertical="center"/>
    </xf>
    <xf numFmtId="4" fontId="31" fillId="0" borderId="0" xfId="0" applyNumberFormat="1" applyFont="1" applyFill="1" applyBorder="1" applyAlignment="1">
      <alignment vertical="center"/>
    </xf>
    <xf numFmtId="0" fontId="8" fillId="8" borderId="26" xfId="0" applyFont="1" applyFill="1" applyBorder="1"/>
    <xf numFmtId="0" fontId="0" fillId="0" borderId="0" xfId="0" applyFill="1" applyBorder="1" applyAlignment="1">
      <alignment wrapText="1"/>
    </xf>
    <xf numFmtId="0" fontId="8" fillId="0" borderId="26" xfId="0" applyFont="1" applyFill="1" applyBorder="1"/>
    <xf numFmtId="0" fontId="8" fillId="0" borderId="1" xfId="0" applyFont="1" applyFill="1" applyBorder="1" applyAlignment="1">
      <alignment vertical="center"/>
    </xf>
    <xf numFmtId="4" fontId="8" fillId="8" borderId="1" xfId="0" applyNumberFormat="1" applyFont="1" applyFill="1" applyBorder="1" applyAlignment="1">
      <alignment vertical="center"/>
    </xf>
    <xf numFmtId="4" fontId="8" fillId="8" borderId="30" xfId="0" applyNumberFormat="1" applyFont="1" applyFill="1" applyBorder="1" applyAlignment="1">
      <alignment vertical="center"/>
    </xf>
    <xf numFmtId="4" fontId="16" fillId="5" borderId="1" xfId="0" applyNumberFormat="1" applyFont="1" applyFill="1" applyBorder="1" applyAlignment="1">
      <alignment vertical="center"/>
    </xf>
    <xf numFmtId="10" fontId="16" fillId="5" borderId="1" xfId="1" applyNumberFormat="1" applyFont="1" applyFill="1" applyBorder="1" applyAlignment="1">
      <alignment vertical="center"/>
    </xf>
    <xf numFmtId="0" fontId="24" fillId="0" borderId="0" xfId="0" applyFont="1" applyFill="1" applyAlignment="1">
      <alignment horizontal="center" vertical="center"/>
    </xf>
    <xf numFmtId="0" fontId="23" fillId="0" borderId="0" xfId="0" applyFont="1" applyFill="1" applyBorder="1"/>
    <xf numFmtId="0" fontId="6" fillId="0" borderId="0" xfId="0" applyFont="1"/>
    <xf numFmtId="0" fontId="8" fillId="0" borderId="2" xfId="0" applyFont="1" applyFill="1" applyBorder="1" applyAlignment="1">
      <alignment horizontal="center"/>
    </xf>
    <xf numFmtId="0" fontId="31" fillId="0" borderId="1" xfId="0" applyFont="1" applyFill="1" applyBorder="1" applyAlignment="1">
      <alignment horizontal="left"/>
    </xf>
    <xf numFmtId="4" fontId="8" fillId="0" borderId="2" xfId="0" applyNumberFormat="1" applyFont="1" applyFill="1" applyBorder="1"/>
    <xf numFmtId="4" fontId="8" fillId="0" borderId="10" xfId="0" applyNumberFormat="1" applyFont="1" applyFill="1" applyBorder="1"/>
    <xf numFmtId="10" fontId="8" fillId="0" borderId="2" xfId="1" applyNumberFormat="1" applyFont="1" applyFill="1" applyBorder="1"/>
    <xf numFmtId="4" fontId="27" fillId="0" borderId="2" xfId="0" applyNumberFormat="1" applyFont="1" applyFill="1" applyBorder="1" applyAlignment="1">
      <alignment horizontal="center"/>
    </xf>
    <xf numFmtId="0" fontId="31" fillId="0" borderId="26" xfId="0" applyFont="1" applyFill="1" applyBorder="1" applyAlignment="1">
      <alignment horizontal="left"/>
    </xf>
    <xf numFmtId="4" fontId="31" fillId="0" borderId="1" xfId="0" applyNumberFormat="1" applyFont="1" applyFill="1" applyBorder="1"/>
    <xf numFmtId="0" fontId="8" fillId="0" borderId="2" xfId="0" applyFont="1" applyFill="1" applyBorder="1" applyAlignment="1"/>
    <xf numFmtId="4" fontId="8" fillId="0" borderId="10" xfId="0" applyNumberFormat="1" applyFont="1" applyFill="1" applyBorder="1" applyAlignment="1"/>
    <xf numFmtId="10" fontId="8" fillId="0" borderId="2" xfId="1" applyNumberFormat="1" applyFont="1" applyFill="1" applyBorder="1" applyAlignment="1"/>
    <xf numFmtId="4" fontId="8" fillId="0" borderId="2" xfId="0" applyNumberFormat="1" applyFont="1" applyFill="1" applyBorder="1" applyAlignment="1"/>
    <xf numFmtId="0" fontId="8" fillId="0" borderId="26" xfId="0" applyFont="1" applyBorder="1"/>
    <xf numFmtId="4" fontId="33" fillId="0" borderId="1" xfId="0" applyNumberFormat="1" applyFont="1" applyFill="1" applyBorder="1"/>
    <xf numFmtId="4" fontId="0" fillId="0" borderId="10" xfId="0" applyNumberFormat="1" applyFont="1" applyFill="1" applyBorder="1"/>
    <xf numFmtId="10" fontId="0" fillId="0" borderId="2" xfId="1" applyNumberFormat="1" applyFont="1" applyFill="1" applyBorder="1"/>
    <xf numFmtId="4" fontId="0" fillId="0" borderId="2" xfId="0" applyNumberFormat="1" applyFont="1" applyFill="1" applyBorder="1"/>
    <xf numFmtId="0" fontId="31" fillId="0" borderId="8" xfId="4" applyFont="1" applyFill="1" applyBorder="1" applyAlignment="1">
      <alignment vertical="center"/>
    </xf>
    <xf numFmtId="4" fontId="31" fillId="0" borderId="1" xfId="4" applyNumberFormat="1" applyFont="1" applyBorder="1" applyAlignment="1">
      <alignment vertical="center"/>
    </xf>
    <xf numFmtId="4" fontId="8" fillId="8" borderId="1" xfId="0" applyNumberFormat="1" applyFont="1" applyFill="1" applyBorder="1" applyAlignment="1">
      <alignment horizontal="right" vertical="center"/>
    </xf>
    <xf numFmtId="0" fontId="8" fillId="0" borderId="7" xfId="0" applyFont="1" applyFill="1" applyBorder="1"/>
    <xf numFmtId="0" fontId="31" fillId="0" borderId="1" xfId="0" applyFont="1" applyBorder="1"/>
    <xf numFmtId="0" fontId="31" fillId="8" borderId="1" xfId="0" applyFont="1" applyFill="1" applyBorder="1"/>
    <xf numFmtId="4" fontId="31" fillId="8" borderId="1" xfId="0" applyNumberFormat="1" applyFont="1" applyFill="1" applyBorder="1"/>
    <xf numFmtId="0" fontId="35" fillId="24" borderId="1" xfId="0" applyFont="1" applyFill="1" applyBorder="1" applyAlignment="1">
      <alignment horizontal="center" vertical="center" wrapText="1"/>
    </xf>
    <xf numFmtId="0" fontId="31" fillId="0" borderId="1" xfId="0" applyFont="1" applyFill="1" applyBorder="1" applyAlignment="1">
      <alignment vertical="center" wrapText="1"/>
    </xf>
    <xf numFmtId="0" fontId="8" fillId="8" borderId="1" xfId="0" applyFont="1" applyFill="1" applyBorder="1" applyAlignment="1">
      <alignment vertical="center"/>
    </xf>
    <xf numFmtId="0" fontId="37" fillId="25" borderId="1" xfId="0" applyFont="1" applyFill="1" applyBorder="1" applyAlignment="1">
      <alignment horizontal="left"/>
    </xf>
    <xf numFmtId="4" fontId="37" fillId="25" borderId="1" xfId="0" applyNumberFormat="1" applyFont="1" applyFill="1" applyBorder="1" applyAlignment="1"/>
    <xf numFmtId="0" fontId="31" fillId="0" borderId="26" xfId="0" applyFont="1" applyFill="1" applyBorder="1" applyAlignment="1">
      <alignment vertical="center" wrapText="1"/>
    </xf>
    <xf numFmtId="4" fontId="11" fillId="0" borderId="10" xfId="0" applyNumberFormat="1" applyFont="1" applyFill="1" applyBorder="1"/>
    <xf numFmtId="10" fontId="11" fillId="0" borderId="2" xfId="1" applyNumberFormat="1" applyFont="1" applyFill="1" applyBorder="1"/>
    <xf numFmtId="4" fontId="11" fillId="0" borderId="2" xfId="0" applyNumberFormat="1" applyFont="1" applyFill="1" applyBorder="1"/>
    <xf numFmtId="4" fontId="31" fillId="0" borderId="1" xfId="0" applyNumberFormat="1" applyFont="1" applyBorder="1"/>
    <xf numFmtId="0" fontId="31" fillId="0" borderId="1" xfId="0" applyFont="1" applyFill="1" applyBorder="1" applyAlignment="1">
      <alignment horizontal="center"/>
    </xf>
    <xf numFmtId="0" fontId="0" fillId="8" borderId="1" xfId="0" applyFont="1" applyFill="1" applyBorder="1" applyAlignment="1">
      <alignment vertical="center"/>
    </xf>
    <xf numFmtId="4" fontId="0" fillId="8" borderId="1" xfId="0" applyNumberFormat="1" applyFont="1" applyFill="1" applyBorder="1" applyAlignment="1">
      <alignment horizontal="right" vertical="center"/>
    </xf>
    <xf numFmtId="0" fontId="33" fillId="8" borderId="1" xfId="0" applyFont="1" applyFill="1" applyBorder="1"/>
    <xf numFmtId="4" fontId="33" fillId="0" borderId="1" xfId="4" applyNumberFormat="1" applyFont="1" applyBorder="1" applyAlignment="1">
      <alignment vertical="center"/>
    </xf>
    <xf numFmtId="0" fontId="11" fillId="8" borderId="1" xfId="0" applyFont="1" applyFill="1" applyBorder="1" applyAlignment="1">
      <alignment vertical="center"/>
    </xf>
    <xf numFmtId="4" fontId="11" fillId="8" borderId="1" xfId="0" applyNumberFormat="1" applyFont="1" applyFill="1" applyBorder="1" applyAlignment="1">
      <alignment horizontal="right" vertical="center"/>
    </xf>
    <xf numFmtId="0" fontId="0" fillId="0" borderId="0" xfId="0" applyFont="1" applyBorder="1" applyAlignment="1">
      <alignment horizontal="left"/>
    </xf>
    <xf numFmtId="0" fontId="37" fillId="23" borderId="1" xfId="0" applyFont="1" applyFill="1" applyBorder="1" applyAlignment="1">
      <alignment horizontal="left"/>
    </xf>
    <xf numFmtId="4" fontId="37" fillId="23" borderId="1" xfId="0" applyNumberFormat="1" applyFont="1" applyFill="1" applyBorder="1" applyAlignment="1"/>
    <xf numFmtId="0" fontId="2" fillId="21" borderId="1" xfId="0" applyFont="1" applyFill="1" applyBorder="1"/>
    <xf numFmtId="4" fontId="0" fillId="0" borderId="0" xfId="0" applyNumberFormat="1" applyFont="1" applyFill="1" applyBorder="1"/>
    <xf numFmtId="10" fontId="0" fillId="0" borderId="0" xfId="1" applyNumberFormat="1" applyFont="1" applyFill="1" applyBorder="1"/>
    <xf numFmtId="0" fontId="0" fillId="0" borderId="0" xfId="0" applyFont="1" applyFill="1" applyBorder="1" applyAlignment="1">
      <alignment horizontal="center"/>
    </xf>
    <xf numFmtId="0" fontId="0" fillId="0" borderId="0" xfId="0" applyFont="1" applyFill="1" applyBorder="1" applyAlignment="1"/>
    <xf numFmtId="4" fontId="0" fillId="0" borderId="0" xfId="0" applyNumberFormat="1" applyFont="1" applyFill="1" applyBorder="1" applyAlignment="1"/>
    <xf numFmtId="0" fontId="0" fillId="0" borderId="0" xfId="0" applyFont="1" applyFill="1" applyBorder="1"/>
    <xf numFmtId="0" fontId="0" fillId="0" borderId="0" xfId="0" applyFont="1" applyFill="1" applyBorder="1" applyAlignment="1">
      <alignment horizontal="left"/>
    </xf>
    <xf numFmtId="0" fontId="38" fillId="0" borderId="0" xfId="0" applyFont="1" applyFill="1" applyBorder="1" applyAlignment="1">
      <alignment vertical="center" wrapText="1"/>
    </xf>
    <xf numFmtId="0" fontId="39" fillId="0" borderId="0" xfId="0" applyFont="1" applyFill="1" applyBorder="1" applyAlignment="1">
      <alignment vertical="center"/>
    </xf>
    <xf numFmtId="0" fontId="8" fillId="0" borderId="0" xfId="0" applyFont="1" applyFill="1" applyBorder="1" applyAlignment="1"/>
    <xf numFmtId="4" fontId="8" fillId="0" borderId="0" xfId="0" applyNumberFormat="1" applyFont="1" applyFill="1" applyBorder="1" applyAlignment="1"/>
    <xf numFmtId="0" fontId="20" fillId="8" borderId="0" xfId="0" applyFont="1" applyFill="1" applyAlignment="1" applyProtection="1">
      <alignment horizontal="left" vertical="center"/>
      <protection locked="0"/>
    </xf>
    <xf numFmtId="0" fontId="20" fillId="8" borderId="0" xfId="0" applyFont="1" applyFill="1" applyAlignment="1" applyProtection="1">
      <alignment horizontal="center"/>
      <protection locked="0"/>
    </xf>
    <xf numFmtId="0" fontId="40" fillId="0" borderId="0" xfId="0" applyFont="1" applyAlignment="1" applyProtection="1">
      <alignment horizontal="center"/>
      <protection locked="0"/>
    </xf>
    <xf numFmtId="0" fontId="40" fillId="0" borderId="0" xfId="0" applyFont="1" applyProtection="1">
      <protection locked="0"/>
    </xf>
    <xf numFmtId="0" fontId="40" fillId="0" borderId="0" xfId="0" applyFont="1" applyAlignment="1" applyProtection="1">
      <alignment horizontal="right"/>
      <protection locked="0"/>
    </xf>
    <xf numFmtId="0" fontId="42" fillId="0" borderId="0" xfId="0" applyFont="1" applyAlignment="1" applyProtection="1">
      <alignment horizontal="center" vertical="center" wrapText="1"/>
      <protection locked="0"/>
    </xf>
    <xf numFmtId="0" fontId="42" fillId="0" borderId="0" xfId="0" applyFont="1" applyFill="1" applyAlignment="1" applyProtection="1">
      <alignment vertical="center" wrapText="1"/>
      <protection locked="0"/>
    </xf>
    <xf numFmtId="0" fontId="42" fillId="0" borderId="0" xfId="0" applyFont="1" applyProtection="1">
      <protection locked="0"/>
    </xf>
    <xf numFmtId="0" fontId="20" fillId="0" borderId="18" xfId="0" applyFont="1" applyBorder="1" applyAlignment="1" applyProtection="1">
      <alignment horizontal="center" vertical="center" wrapText="1"/>
      <protection locked="0"/>
    </xf>
    <xf numFmtId="0" fontId="20" fillId="0" borderId="57" xfId="0" applyFont="1" applyBorder="1" applyAlignment="1" applyProtection="1">
      <alignment horizontal="center" vertical="center" wrapText="1"/>
      <protection locked="0"/>
    </xf>
    <xf numFmtId="0" fontId="20" fillId="0" borderId="19" xfId="0" applyFont="1" applyBorder="1" applyAlignment="1" applyProtection="1">
      <alignment horizontal="center" vertical="center" wrapText="1"/>
      <protection locked="0"/>
    </xf>
    <xf numFmtId="0" fontId="12" fillId="27" borderId="19" xfId="0" applyFont="1" applyFill="1" applyBorder="1" applyAlignment="1" applyProtection="1">
      <alignment horizontal="center" vertical="center" wrapText="1"/>
      <protection locked="0"/>
    </xf>
    <xf numFmtId="0" fontId="20" fillId="27" borderId="19" xfId="0" applyFont="1" applyFill="1" applyBorder="1" applyAlignment="1" applyProtection="1">
      <alignment horizontal="center" vertical="center" wrapText="1"/>
      <protection locked="0"/>
    </xf>
    <xf numFmtId="0" fontId="20" fillId="0" borderId="19" xfId="0" applyFont="1" applyFill="1" applyBorder="1" applyAlignment="1" applyProtection="1">
      <alignment horizontal="center" vertical="center" wrapText="1"/>
      <protection locked="0"/>
    </xf>
    <xf numFmtId="0" fontId="20" fillId="28" borderId="19" xfId="0" applyFont="1" applyFill="1" applyBorder="1" applyAlignment="1" applyProtection="1">
      <alignment horizontal="center" vertical="center" wrapText="1"/>
      <protection locked="0"/>
    </xf>
    <xf numFmtId="0" fontId="12" fillId="28" borderId="19" xfId="0" applyFont="1" applyFill="1" applyBorder="1" applyAlignment="1" applyProtection="1">
      <alignment horizontal="center" vertical="center" wrapText="1"/>
      <protection locked="0"/>
    </xf>
    <xf numFmtId="0" fontId="20" fillId="16" borderId="19" xfId="0" applyFont="1" applyFill="1" applyBorder="1" applyAlignment="1" applyProtection="1">
      <alignment horizontal="center" vertical="center" wrapText="1"/>
      <protection locked="0"/>
    </xf>
    <xf numFmtId="0" fontId="12" fillId="16" borderId="19" xfId="0" applyFont="1" applyFill="1" applyBorder="1" applyAlignment="1" applyProtection="1">
      <alignment horizontal="center" vertical="center" wrapText="1"/>
      <protection locked="0"/>
    </xf>
    <xf numFmtId="0" fontId="12" fillId="7" borderId="19" xfId="0" applyFont="1" applyFill="1" applyBorder="1" applyAlignment="1" applyProtection="1">
      <alignment horizontal="center" vertical="center" wrapText="1"/>
      <protection locked="0"/>
    </xf>
    <xf numFmtId="0" fontId="20" fillId="7" borderId="58" xfId="0" applyFont="1" applyFill="1" applyBorder="1" applyAlignment="1" applyProtection="1">
      <alignment horizontal="center" vertical="center" wrapText="1"/>
      <protection locked="0"/>
    </xf>
    <xf numFmtId="0" fontId="20" fillId="7" borderId="59" xfId="0" applyFont="1" applyFill="1" applyBorder="1" applyAlignment="1" applyProtection="1">
      <alignment horizontal="center" vertical="center" wrapText="1"/>
      <protection locked="0"/>
    </xf>
    <xf numFmtId="0" fontId="38" fillId="0" borderId="23" xfId="0" applyFont="1" applyBorder="1" applyAlignment="1" applyProtection="1">
      <alignment horizontal="center" vertical="center" wrapText="1"/>
      <protection locked="0"/>
    </xf>
    <xf numFmtId="0" fontId="38" fillId="0" borderId="30"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40" fillId="17" borderId="26" xfId="0" applyFont="1" applyFill="1" applyBorder="1" applyAlignment="1" applyProtection="1">
      <alignment horizontal="center" vertical="center" wrapText="1"/>
      <protection locked="0"/>
    </xf>
    <xf numFmtId="165" fontId="40" fillId="29" borderId="1" xfId="0" applyNumberFormat="1" applyFont="1" applyFill="1" applyBorder="1" applyAlignment="1" applyProtection="1">
      <alignment horizontal="center" vertical="center" wrapText="1"/>
      <protection locked="0"/>
    </xf>
    <xf numFmtId="0" fontId="40" fillId="0" borderId="1" xfId="0" applyFont="1" applyBorder="1" applyAlignment="1">
      <alignment horizontal="center" vertical="center"/>
    </xf>
    <xf numFmtId="0" fontId="40" fillId="0" borderId="1" xfId="0" applyFont="1" applyBorder="1" applyAlignment="1" applyProtection="1">
      <alignment horizontal="center" vertical="center"/>
      <protection locked="0"/>
    </xf>
    <xf numFmtId="0" fontId="40" fillId="0" borderId="1" xfId="0" applyFont="1" applyBorder="1" applyAlignment="1">
      <alignment horizontal="center" vertical="center" wrapText="1"/>
    </xf>
    <xf numFmtId="4" fontId="40" fillId="0" borderId="1" xfId="0" applyNumberFormat="1" applyFont="1" applyBorder="1" applyAlignment="1" applyProtection="1">
      <alignment horizontal="center" vertical="center" wrapText="1"/>
      <protection locked="0"/>
    </xf>
    <xf numFmtId="0" fontId="40" fillId="8" borderId="1" xfId="0" applyFont="1" applyFill="1" applyBorder="1" applyAlignment="1">
      <alignment horizontal="center" vertical="center"/>
    </xf>
    <xf numFmtId="0" fontId="40" fillId="8" borderId="1" xfId="0" applyFont="1" applyFill="1" applyBorder="1" applyAlignment="1" applyProtection="1">
      <alignment horizontal="center" vertical="center"/>
      <protection locked="0"/>
    </xf>
    <xf numFmtId="4" fontId="40" fillId="8" borderId="1" xfId="0" applyNumberFormat="1" applyFont="1" applyFill="1" applyBorder="1" applyAlignment="1">
      <alignment horizontal="center" vertical="center" wrapText="1"/>
    </xf>
    <xf numFmtId="4" fontId="40" fillId="8" borderId="1" xfId="0" applyNumberFormat="1" applyFont="1" applyFill="1" applyBorder="1" applyAlignment="1" applyProtection="1">
      <alignment horizontal="center" vertical="center" wrapText="1"/>
      <protection locked="0"/>
    </xf>
    <xf numFmtId="4" fontId="40" fillId="8" borderId="1" xfId="0" applyNumberFormat="1" applyFont="1" applyFill="1" applyBorder="1" applyAlignment="1">
      <alignment horizontal="center" vertical="center"/>
    </xf>
    <xf numFmtId="4" fontId="40" fillId="30" borderId="1" xfId="0" applyNumberFormat="1" applyFont="1" applyFill="1" applyBorder="1" applyAlignment="1" applyProtection="1">
      <alignment horizontal="center" vertical="center" wrapText="1"/>
      <protection locked="0"/>
    </xf>
    <xf numFmtId="0" fontId="38" fillId="0" borderId="1" xfId="0" applyFont="1" applyBorder="1" applyAlignment="1" applyProtection="1">
      <alignment horizontal="center" vertical="center"/>
      <protection locked="0"/>
    </xf>
    <xf numFmtId="4" fontId="38" fillId="8" borderId="1" xfId="0" applyNumberFormat="1" applyFont="1" applyFill="1" applyBorder="1" applyAlignment="1" applyProtection="1">
      <alignment horizontal="center" vertical="center" wrapText="1"/>
      <protection locked="0"/>
    </xf>
    <xf numFmtId="4" fontId="38" fillId="0" borderId="1" xfId="0" applyNumberFormat="1" applyFont="1" applyBorder="1" applyAlignment="1" applyProtection="1">
      <alignment horizontal="center" vertical="center" wrapText="1"/>
      <protection locked="0"/>
    </xf>
    <xf numFmtId="4" fontId="38" fillId="0" borderId="1" xfId="0" applyNumberFormat="1" applyFont="1" applyBorder="1" applyAlignment="1" applyProtection="1">
      <alignment horizontal="center" vertical="center"/>
      <protection locked="0"/>
    </xf>
    <xf numFmtId="4" fontId="38" fillId="0" borderId="8" xfId="0" applyNumberFormat="1" applyFont="1" applyBorder="1" applyAlignment="1" applyProtection="1">
      <alignment horizontal="center" vertical="center"/>
      <protection locked="0"/>
    </xf>
    <xf numFmtId="0" fontId="38" fillId="0" borderId="0" xfId="0" applyFont="1" applyProtection="1">
      <protection locked="0"/>
    </xf>
    <xf numFmtId="165" fontId="38" fillId="0" borderId="1" xfId="0" applyNumberFormat="1" applyFont="1" applyBorder="1" applyAlignment="1" applyProtection="1">
      <alignment horizontal="center" vertical="center" wrapText="1"/>
      <protection locked="0"/>
    </xf>
    <xf numFmtId="0" fontId="40" fillId="0" borderId="1" xfId="0" applyFont="1" applyBorder="1" applyAlignment="1" applyProtection="1">
      <alignment horizontal="center" vertical="center" wrapText="1"/>
      <protection locked="0"/>
    </xf>
    <xf numFmtId="0" fontId="40" fillId="8" borderId="1" xfId="0" applyFont="1" applyFill="1" applyBorder="1" applyAlignment="1">
      <alignment horizontal="center" vertical="center" wrapText="1"/>
    </xf>
    <xf numFmtId="0" fontId="40" fillId="8" borderId="1" xfId="0" applyFont="1" applyFill="1" applyBorder="1" applyAlignment="1" applyProtection="1">
      <alignment horizontal="center" vertical="center" wrapText="1"/>
      <protection locked="0"/>
    </xf>
    <xf numFmtId="10" fontId="40" fillId="8" borderId="1" xfId="0" applyNumberFormat="1" applyFont="1" applyFill="1" applyBorder="1" applyAlignment="1">
      <alignment horizontal="center" vertical="center" wrapText="1"/>
    </xf>
    <xf numFmtId="4" fontId="38" fillId="8" borderId="1" xfId="0" applyNumberFormat="1" applyFont="1" applyFill="1" applyBorder="1" applyAlignment="1" applyProtection="1">
      <alignment horizontal="center" vertical="center"/>
      <protection locked="0"/>
    </xf>
    <xf numFmtId="165" fontId="38" fillId="0" borderId="1" xfId="0" applyNumberFormat="1" applyFont="1" applyBorder="1" applyAlignment="1" applyProtection="1">
      <alignment horizontal="center" vertical="center"/>
      <protection locked="0"/>
    </xf>
    <xf numFmtId="4" fontId="40" fillId="8" borderId="1" xfId="0" applyNumberFormat="1" applyFont="1" applyFill="1" applyBorder="1" applyAlignment="1" applyProtection="1">
      <alignment horizontal="center" vertical="center"/>
      <protection locked="0"/>
    </xf>
    <xf numFmtId="0" fontId="38" fillId="8" borderId="1" xfId="0" applyFont="1" applyFill="1" applyBorder="1" applyAlignment="1" applyProtection="1">
      <alignment horizontal="center" vertical="center" wrapText="1"/>
      <protection locked="0"/>
    </xf>
    <xf numFmtId="0" fontId="38" fillId="31" borderId="1" xfId="0" applyFont="1" applyFill="1" applyBorder="1" applyAlignment="1" applyProtection="1">
      <alignment horizontal="center" vertical="center" wrapText="1"/>
      <protection locked="0"/>
    </xf>
    <xf numFmtId="4" fontId="40" fillId="0" borderId="1" xfId="0" applyNumberFormat="1" applyFont="1" applyBorder="1" applyAlignment="1">
      <alignment horizontal="center" vertical="center" wrapText="1"/>
    </xf>
    <xf numFmtId="165" fontId="40" fillId="8" borderId="2" xfId="0" applyNumberFormat="1" applyFont="1" applyFill="1" applyBorder="1" applyAlignment="1" applyProtection="1">
      <alignment horizontal="center" vertical="center" wrapText="1"/>
      <protection locked="0"/>
    </xf>
    <xf numFmtId="165" fontId="40" fillId="8" borderId="1" xfId="0" applyNumberFormat="1" applyFont="1" applyFill="1" applyBorder="1" applyAlignment="1" applyProtection="1">
      <alignment horizontal="center" vertical="center" wrapText="1"/>
      <protection locked="0"/>
    </xf>
    <xf numFmtId="1" fontId="40" fillId="0" borderId="1" xfId="0" applyNumberFormat="1" applyFont="1" applyBorder="1" applyAlignment="1" applyProtection="1">
      <alignment horizontal="center" vertical="center" wrapText="1"/>
      <protection locked="0"/>
    </xf>
    <xf numFmtId="4" fontId="40" fillId="0" borderId="26" xfId="0" applyNumberFormat="1" applyFont="1" applyBorder="1" applyAlignment="1" applyProtection="1">
      <alignment horizontal="center" vertical="center" wrapText="1"/>
      <protection locked="0"/>
    </xf>
    <xf numFmtId="0" fontId="20" fillId="12" borderId="60" xfId="0" applyFont="1" applyFill="1" applyBorder="1" applyAlignment="1">
      <alignment horizontal="center" vertical="center" wrapText="1"/>
    </xf>
    <xf numFmtId="0" fontId="20" fillId="12" borderId="51" xfId="0" applyFont="1" applyFill="1" applyBorder="1" applyAlignment="1">
      <alignment horizontal="center" vertical="center" wrapText="1"/>
    </xf>
    <xf numFmtId="0" fontId="20" fillId="12" borderId="41" xfId="0" applyFont="1" applyFill="1" applyBorder="1" applyAlignment="1">
      <alignment horizontal="center" vertical="center" wrapText="1"/>
    </xf>
    <xf numFmtId="165" fontId="20" fillId="12" borderId="41" xfId="0" applyNumberFormat="1" applyFont="1" applyFill="1" applyBorder="1" applyAlignment="1">
      <alignment horizontal="center" vertical="center" wrapText="1"/>
    </xf>
    <xf numFmtId="3" fontId="20" fillId="12" borderId="41" xfId="0" applyNumberFormat="1" applyFont="1" applyFill="1" applyBorder="1" applyAlignment="1">
      <alignment horizontal="center" vertical="center" wrapText="1"/>
    </xf>
    <xf numFmtId="4" fontId="20" fillId="12" borderId="41" xfId="0" applyNumberFormat="1" applyFont="1" applyFill="1" applyBorder="1" applyAlignment="1">
      <alignment horizontal="center" vertical="center" wrapText="1"/>
    </xf>
    <xf numFmtId="10" fontId="20" fillId="12" borderId="41" xfId="0" applyNumberFormat="1" applyFont="1" applyFill="1" applyBorder="1" applyAlignment="1">
      <alignment horizontal="center" vertical="center" wrapText="1"/>
    </xf>
    <xf numFmtId="0" fontId="40" fillId="0" borderId="0" xfId="0" applyFont="1"/>
    <xf numFmtId="0" fontId="20" fillId="27" borderId="19" xfId="0" applyFont="1" applyFill="1" applyBorder="1" applyAlignment="1" applyProtection="1">
      <alignment horizontal="center" vertical="center" wrapText="1"/>
    </xf>
    <xf numFmtId="0" fontId="12" fillId="27" borderId="19" xfId="0" applyFont="1" applyFill="1" applyBorder="1" applyAlignment="1" applyProtection="1">
      <alignment horizontal="center" vertical="center" wrapText="1"/>
    </xf>
    <xf numFmtId="0" fontId="20" fillId="7" borderId="36" xfId="0" applyFont="1" applyFill="1" applyBorder="1" applyAlignment="1" applyProtection="1">
      <alignment horizontal="center" vertical="center" wrapText="1"/>
      <protection locked="0"/>
    </xf>
    <xf numFmtId="0" fontId="40" fillId="0" borderId="23" xfId="0" applyFont="1" applyBorder="1" applyAlignment="1" applyProtection="1">
      <alignment horizontal="center" vertical="center" wrapText="1"/>
      <protection locked="0"/>
    </xf>
    <xf numFmtId="0" fontId="40" fillId="0" borderId="30" xfId="0" applyFont="1" applyBorder="1" applyAlignment="1" applyProtection="1">
      <alignment horizontal="center" vertical="center" wrapText="1"/>
      <protection locked="0"/>
    </xf>
    <xf numFmtId="4" fontId="43" fillId="0" borderId="1" xfId="0" applyNumberFormat="1" applyFont="1" applyBorder="1" applyAlignment="1" applyProtection="1">
      <alignment horizontal="center" vertical="center" wrapText="1"/>
      <protection locked="0"/>
    </xf>
    <xf numFmtId="4" fontId="40" fillId="0" borderId="30" xfId="0" applyNumberFormat="1" applyFont="1" applyBorder="1" applyAlignment="1" applyProtection="1">
      <alignment horizontal="center" vertical="center" wrapText="1"/>
      <protection locked="0"/>
    </xf>
    <xf numFmtId="4" fontId="40" fillId="0" borderId="3" xfId="0" applyNumberFormat="1" applyFont="1" applyBorder="1" applyAlignment="1" applyProtection="1">
      <alignment horizontal="center" vertical="center" wrapText="1"/>
      <protection locked="0"/>
    </xf>
    <xf numFmtId="4" fontId="40" fillId="0" borderId="25" xfId="0" applyNumberFormat="1" applyFont="1" applyBorder="1" applyAlignment="1" applyProtection="1">
      <alignment horizontal="center" vertical="center" wrapText="1"/>
      <protection locked="0"/>
    </xf>
    <xf numFmtId="4" fontId="43" fillId="0" borderId="0" xfId="0" applyNumberFormat="1" applyFont="1" applyAlignment="1" applyProtection="1">
      <alignment vertical="center"/>
      <protection locked="0"/>
    </xf>
    <xf numFmtId="0" fontId="38" fillId="0" borderId="1" xfId="0" applyFont="1" applyBorder="1" applyAlignment="1" applyProtection="1">
      <alignment horizontal="center" vertical="top" wrapText="1"/>
      <protection locked="0"/>
    </xf>
    <xf numFmtId="165" fontId="40" fillId="0" borderId="1" xfId="0" applyNumberFormat="1" applyFont="1" applyBorder="1" applyAlignment="1" applyProtection="1">
      <alignment horizontal="center" vertical="center" wrapText="1"/>
      <protection locked="0"/>
    </xf>
    <xf numFmtId="4" fontId="44" fillId="0" borderId="1" xfId="0" applyNumberFormat="1" applyFont="1" applyBorder="1" applyAlignment="1" applyProtection="1">
      <alignment horizontal="center" vertical="center"/>
      <protection locked="0"/>
    </xf>
    <xf numFmtId="1" fontId="44" fillId="0" borderId="1" xfId="0" applyNumberFormat="1" applyFont="1" applyBorder="1" applyAlignment="1" applyProtection="1">
      <alignment horizontal="center" vertical="center"/>
      <protection locked="0"/>
    </xf>
    <xf numFmtId="4" fontId="44" fillId="0" borderId="1" xfId="0" applyNumberFormat="1" applyFont="1" applyBorder="1" applyAlignment="1" applyProtection="1">
      <alignment horizontal="center" vertical="center" wrapText="1"/>
      <protection locked="0"/>
    </xf>
    <xf numFmtId="4" fontId="40" fillId="0" borderId="0" xfId="0" applyNumberFormat="1" applyFont="1" applyAlignment="1" applyProtection="1">
      <alignment vertical="center"/>
      <protection locked="0"/>
    </xf>
    <xf numFmtId="0" fontId="40" fillId="30" borderId="1" xfId="0" applyFont="1" applyFill="1" applyBorder="1" applyAlignment="1" applyProtection="1">
      <alignment horizontal="center" vertical="center" wrapText="1"/>
      <protection locked="0"/>
    </xf>
    <xf numFmtId="165" fontId="40" fillId="32" borderId="1" xfId="0" applyNumberFormat="1" applyFont="1" applyFill="1" applyBorder="1" applyAlignment="1" applyProtection="1">
      <alignment horizontal="center" vertical="center" wrapText="1"/>
      <protection locked="0"/>
    </xf>
    <xf numFmtId="0" fontId="38" fillId="0" borderId="22" xfId="0" applyFont="1" applyBorder="1" applyAlignment="1" applyProtection="1">
      <alignment horizontal="center" vertical="center" wrapText="1"/>
      <protection locked="0"/>
    </xf>
    <xf numFmtId="0" fontId="38" fillId="0" borderId="3" xfId="0" applyFont="1" applyBorder="1" applyAlignment="1" applyProtection="1">
      <alignment horizontal="center" vertical="center" wrapText="1"/>
      <protection locked="0"/>
    </xf>
    <xf numFmtId="0" fontId="38" fillId="17" borderId="26" xfId="0" applyFont="1" applyFill="1" applyBorder="1" applyAlignment="1" applyProtection="1">
      <alignment horizontal="center" vertical="center" wrapText="1"/>
      <protection locked="0"/>
    </xf>
    <xf numFmtId="1" fontId="38" fillId="0" borderId="1" xfId="0" applyNumberFormat="1" applyFont="1" applyBorder="1" applyAlignment="1" applyProtection="1">
      <alignment horizontal="center" vertical="center" wrapText="1"/>
      <protection locked="0"/>
    </xf>
    <xf numFmtId="1" fontId="40" fillId="8" borderId="1" xfId="0" applyNumberFormat="1" applyFont="1" applyFill="1" applyBorder="1" applyAlignment="1" applyProtection="1">
      <alignment horizontal="center" vertical="center" wrapText="1"/>
      <protection locked="0"/>
    </xf>
    <xf numFmtId="0" fontId="38" fillId="17" borderId="1" xfId="0" applyFont="1" applyFill="1" applyBorder="1" applyAlignment="1" applyProtection="1">
      <alignment horizontal="center" vertical="center" wrapText="1"/>
      <protection locked="0"/>
    </xf>
    <xf numFmtId="165" fontId="38" fillId="8" borderId="1" xfId="0" applyNumberFormat="1" applyFont="1" applyFill="1" applyBorder="1" applyAlignment="1" applyProtection="1">
      <alignment horizontal="center" vertical="center" wrapText="1"/>
      <protection locked="0"/>
    </xf>
    <xf numFmtId="0" fontId="38" fillId="0" borderId="24" xfId="0" applyFont="1" applyBorder="1" applyAlignment="1" applyProtection="1">
      <alignment horizontal="center" vertical="center" wrapText="1"/>
      <protection locked="0"/>
    </xf>
    <xf numFmtId="0" fontId="38" fillId="0" borderId="10" xfId="0" applyFont="1" applyBorder="1" applyAlignment="1" applyProtection="1">
      <alignment horizontal="center" vertical="center" wrapText="1"/>
      <protection locked="0"/>
    </xf>
    <xf numFmtId="0" fontId="40" fillId="8" borderId="2" xfId="0" applyFont="1" applyFill="1" applyBorder="1" applyAlignment="1">
      <alignment horizontal="center" vertical="center" wrapText="1"/>
    </xf>
    <xf numFmtId="0" fontId="40" fillId="8" borderId="2" xfId="0" applyFont="1" applyFill="1" applyBorder="1" applyAlignment="1" applyProtection="1">
      <alignment horizontal="center" vertical="center" wrapText="1"/>
      <protection locked="0"/>
    </xf>
    <xf numFmtId="4" fontId="40" fillId="8" borderId="2" xfId="0" applyNumberFormat="1" applyFont="1" applyFill="1" applyBorder="1" applyAlignment="1" applyProtection="1">
      <alignment horizontal="center" vertical="center" wrapText="1"/>
      <protection locked="0"/>
    </xf>
    <xf numFmtId="10" fontId="40" fillId="8" borderId="2" xfId="0" applyNumberFormat="1" applyFont="1" applyFill="1" applyBorder="1" applyAlignment="1">
      <alignment horizontal="center" vertical="center" wrapText="1"/>
    </xf>
    <xf numFmtId="165" fontId="38" fillId="8" borderId="2" xfId="0" applyNumberFormat="1" applyFont="1" applyFill="1" applyBorder="1" applyAlignment="1" applyProtection="1">
      <alignment horizontal="center" vertical="center" wrapText="1"/>
      <protection locked="0"/>
    </xf>
    <xf numFmtId="0" fontId="38" fillId="0" borderId="2" xfId="0" applyFont="1" applyBorder="1" applyAlignment="1" applyProtection="1">
      <alignment horizontal="center" vertical="center" wrapText="1"/>
      <protection locked="0"/>
    </xf>
    <xf numFmtId="4" fontId="40" fillId="0" borderId="2" xfId="0" applyNumberFormat="1" applyFont="1" applyBorder="1" applyAlignment="1" applyProtection="1">
      <alignment horizontal="center" vertical="center" wrapText="1"/>
      <protection locked="0"/>
    </xf>
    <xf numFmtId="0" fontId="40" fillId="0" borderId="24" xfId="0" applyFont="1" applyBorder="1" applyAlignment="1" applyProtection="1">
      <alignment horizontal="center" vertical="center" wrapText="1"/>
      <protection locked="0"/>
    </xf>
    <xf numFmtId="0" fontId="38" fillId="11" borderId="10" xfId="0" applyFont="1" applyFill="1" applyBorder="1" applyAlignment="1" applyProtection="1">
      <alignment horizontal="center" vertical="center" wrapText="1"/>
      <protection locked="0"/>
    </xf>
    <xf numFmtId="165" fontId="38" fillId="0" borderId="2" xfId="0" applyNumberFormat="1" applyFont="1" applyBorder="1" applyAlignment="1" applyProtection="1">
      <alignment horizontal="center" vertical="center" wrapText="1"/>
      <protection locked="0"/>
    </xf>
    <xf numFmtId="1" fontId="40" fillId="8" borderId="26" xfId="0" applyNumberFormat="1" applyFont="1" applyFill="1" applyBorder="1" applyAlignment="1" applyProtection="1">
      <alignment horizontal="center" vertical="center" wrapText="1"/>
      <protection locked="0"/>
    </xf>
    <xf numFmtId="0" fontId="38" fillId="8" borderId="1" xfId="0" applyFont="1" applyFill="1" applyBorder="1" applyAlignment="1" applyProtection="1">
      <alignment horizontal="center" vertical="top" wrapText="1"/>
      <protection locked="0"/>
    </xf>
    <xf numFmtId="165" fontId="38" fillId="0" borderId="26" xfId="0" applyNumberFormat="1" applyFont="1" applyBorder="1" applyAlignment="1" applyProtection="1">
      <alignment horizontal="center" vertical="center" wrapText="1"/>
      <protection locked="0"/>
    </xf>
    <xf numFmtId="0" fontId="40" fillId="8" borderId="26" xfId="0" applyFont="1" applyFill="1" applyBorder="1" applyAlignment="1">
      <alignment horizontal="center" vertical="center" wrapText="1"/>
    </xf>
    <xf numFmtId="0" fontId="40" fillId="8" borderId="53" xfId="0" applyFont="1" applyFill="1" applyBorder="1" applyAlignment="1">
      <alignment horizontal="center" vertical="center" wrapText="1"/>
    </xf>
    <xf numFmtId="0" fontId="40" fillId="8" borderId="26" xfId="0" applyFont="1" applyFill="1" applyBorder="1" applyAlignment="1" applyProtection="1">
      <alignment horizontal="center" vertical="center" wrapText="1"/>
      <protection locked="0"/>
    </xf>
    <xf numFmtId="0" fontId="38" fillId="8" borderId="7" xfId="0" applyFont="1" applyFill="1" applyBorder="1" applyAlignment="1" applyProtection="1">
      <alignment horizontal="center" vertical="top" wrapText="1"/>
      <protection locked="0"/>
    </xf>
    <xf numFmtId="0" fontId="38" fillId="0" borderId="8" xfId="0" applyFont="1" applyBorder="1" applyAlignment="1" applyProtection="1">
      <alignment horizontal="center" vertical="center" wrapText="1"/>
      <protection locked="0"/>
    </xf>
    <xf numFmtId="165" fontId="38" fillId="0" borderId="7" xfId="0" applyNumberFormat="1" applyFont="1" applyBorder="1" applyAlignment="1" applyProtection="1">
      <alignment horizontal="center" vertical="center" wrapText="1"/>
      <protection locked="0"/>
    </xf>
    <xf numFmtId="0" fontId="40" fillId="8" borderId="7" xfId="0" applyFont="1" applyFill="1" applyBorder="1" applyAlignment="1">
      <alignment horizontal="center" vertical="center" wrapText="1"/>
    </xf>
    <xf numFmtId="4" fontId="40" fillId="0" borderId="7" xfId="0" applyNumberFormat="1" applyFont="1" applyBorder="1" applyAlignment="1" applyProtection="1">
      <alignment horizontal="center" vertical="center" wrapText="1"/>
      <protection locked="0"/>
    </xf>
    <xf numFmtId="0" fontId="40" fillId="8" borderId="7" xfId="0" applyFont="1" applyFill="1" applyBorder="1" applyAlignment="1" applyProtection="1">
      <alignment horizontal="center" vertical="center" wrapText="1"/>
      <protection locked="0"/>
    </xf>
    <xf numFmtId="0" fontId="40" fillId="8" borderId="8" xfId="0" applyFont="1" applyFill="1" applyBorder="1" applyAlignment="1" applyProtection="1">
      <alignment horizontal="center" vertical="center" wrapText="1"/>
      <protection locked="0"/>
    </xf>
    <xf numFmtId="0" fontId="40" fillId="8" borderId="10" xfId="0" applyFont="1" applyFill="1" applyBorder="1" applyAlignment="1" applyProtection="1">
      <alignment horizontal="center" vertical="top" wrapText="1"/>
      <protection locked="0"/>
    </xf>
    <xf numFmtId="4" fontId="40" fillId="0" borderId="2" xfId="0" applyNumberFormat="1" applyFont="1" applyBorder="1" applyAlignment="1">
      <alignment horizontal="center" vertical="center" wrapText="1"/>
    </xf>
    <xf numFmtId="4" fontId="40" fillId="8" borderId="2" xfId="0" applyNumberFormat="1" applyFont="1" applyFill="1" applyBorder="1" applyAlignment="1">
      <alignment horizontal="center" vertical="center" wrapText="1"/>
    </xf>
    <xf numFmtId="0" fontId="40" fillId="33" borderId="2" xfId="0" applyFont="1" applyFill="1" applyBorder="1" applyAlignment="1" applyProtection="1">
      <alignment horizontal="center" vertical="center" wrapText="1"/>
      <protection locked="0"/>
    </xf>
    <xf numFmtId="4" fontId="40" fillId="0" borderId="61" xfId="0" applyNumberFormat="1" applyFont="1" applyBorder="1" applyAlignment="1" applyProtection="1">
      <alignment horizontal="center" vertical="center" wrapText="1"/>
      <protection locked="0"/>
    </xf>
    <xf numFmtId="165" fontId="40" fillId="8" borderId="61" xfId="0" applyNumberFormat="1" applyFont="1" applyFill="1" applyBorder="1" applyAlignment="1" applyProtection="1">
      <alignment horizontal="center" vertical="center" wrapText="1"/>
      <protection locked="0"/>
    </xf>
    <xf numFmtId="0" fontId="40" fillId="31" borderId="26" xfId="0" applyFont="1" applyFill="1" applyBorder="1" applyAlignment="1" applyProtection="1">
      <alignment horizontal="center" vertical="center" wrapText="1"/>
      <protection locked="0"/>
    </xf>
    <xf numFmtId="165" fontId="40" fillId="8" borderId="1" xfId="0" applyNumberFormat="1" applyFont="1" applyFill="1" applyBorder="1" applyAlignment="1" applyProtection="1">
      <alignment horizontal="center" vertical="top" wrapText="1"/>
      <protection locked="0"/>
    </xf>
    <xf numFmtId="0" fontId="21" fillId="12" borderId="31" xfId="0" applyFont="1" applyFill="1" applyBorder="1" applyAlignment="1">
      <alignment horizontal="center" vertical="center" wrapText="1"/>
    </xf>
    <xf numFmtId="0" fontId="21" fillId="12" borderId="47" xfId="0" applyFont="1" applyFill="1" applyBorder="1" applyAlignment="1">
      <alignment horizontal="center" vertical="center" wrapText="1"/>
    </xf>
    <xf numFmtId="0" fontId="21" fillId="12" borderId="32" xfId="0" applyFont="1" applyFill="1" applyBorder="1" applyAlignment="1">
      <alignment horizontal="center" vertical="center" wrapText="1"/>
    </xf>
    <xf numFmtId="4" fontId="21" fillId="12" borderId="32" xfId="0" applyNumberFormat="1" applyFont="1" applyFill="1" applyBorder="1" applyAlignment="1">
      <alignment horizontal="center" vertical="center" wrapText="1"/>
    </xf>
    <xf numFmtId="165" fontId="21" fillId="12" borderId="32" xfId="0" applyNumberFormat="1" applyFont="1" applyFill="1" applyBorder="1" applyAlignment="1">
      <alignment horizontal="center" vertical="center" wrapText="1"/>
    </xf>
    <xf numFmtId="178" fontId="21" fillId="12" borderId="32" xfId="0" applyNumberFormat="1" applyFont="1" applyFill="1" applyBorder="1" applyAlignment="1">
      <alignment horizontal="center" vertical="center" wrapText="1"/>
    </xf>
    <xf numFmtId="4" fontId="20" fillId="12" borderId="32" xfId="0" applyNumberFormat="1" applyFont="1" applyFill="1" applyBorder="1" applyAlignment="1">
      <alignment horizontal="center" vertical="center" wrapText="1"/>
    </xf>
    <xf numFmtId="3" fontId="20" fillId="12" borderId="32" xfId="0" applyNumberFormat="1" applyFont="1" applyFill="1" applyBorder="1" applyAlignment="1">
      <alignment horizontal="center" vertical="center" wrapText="1"/>
    </xf>
    <xf numFmtId="4" fontId="20" fillId="12" borderId="62" xfId="0" applyNumberFormat="1" applyFont="1" applyFill="1" applyBorder="1" applyAlignment="1">
      <alignment horizontal="center" vertical="center" wrapText="1"/>
    </xf>
    <xf numFmtId="10" fontId="20" fillId="12" borderId="32" xfId="0" applyNumberFormat="1" applyFont="1" applyFill="1" applyBorder="1" applyAlignment="1">
      <alignment horizontal="center" vertical="center" wrapText="1"/>
    </xf>
    <xf numFmtId="3" fontId="21" fillId="12" borderId="32" xfId="0" applyNumberFormat="1" applyFont="1" applyFill="1" applyBorder="1" applyAlignment="1">
      <alignment horizontal="center" vertical="center" wrapText="1"/>
    </xf>
    <xf numFmtId="0" fontId="20" fillId="12" borderId="32" xfId="0" applyFont="1" applyFill="1" applyBorder="1" applyAlignment="1">
      <alignment horizontal="center" vertical="center" wrapText="1"/>
    </xf>
    <xf numFmtId="4" fontId="20" fillId="0" borderId="0" xfId="0" applyNumberFormat="1" applyFont="1"/>
    <xf numFmtId="0" fontId="20" fillId="0" borderId="0" xfId="0" applyFont="1"/>
    <xf numFmtId="0" fontId="45" fillId="26" borderId="49" xfId="0" applyFont="1" applyFill="1" applyBorder="1" applyAlignment="1">
      <alignment horizontal="center" vertical="center" wrapText="1"/>
    </xf>
    <xf numFmtId="0" fontId="45" fillId="26" borderId="63" xfId="0" applyFont="1" applyFill="1" applyBorder="1" applyAlignment="1">
      <alignment horizontal="center" vertical="center" wrapText="1"/>
    </xf>
    <xf numFmtId="0" fontId="45" fillId="26" borderId="32" xfId="0" applyFont="1" applyFill="1" applyBorder="1" applyAlignment="1">
      <alignment horizontal="center" vertical="center" wrapText="1"/>
    </xf>
    <xf numFmtId="4" fontId="45" fillId="26" borderId="32" xfId="0" applyNumberFormat="1" applyFont="1" applyFill="1" applyBorder="1" applyAlignment="1">
      <alignment horizontal="center" vertical="center" wrapText="1"/>
    </xf>
    <xf numFmtId="165" fontId="45" fillId="26" borderId="32" xfId="0" applyNumberFormat="1" applyFont="1" applyFill="1" applyBorder="1" applyAlignment="1">
      <alignment horizontal="center" vertical="center" wrapText="1"/>
    </xf>
    <xf numFmtId="3" fontId="45" fillId="26" borderId="32" xfId="0" applyNumberFormat="1" applyFont="1" applyFill="1" applyBorder="1" applyAlignment="1">
      <alignment horizontal="center" vertical="center" wrapText="1"/>
    </xf>
    <xf numFmtId="3" fontId="46" fillId="26" borderId="32" xfId="0" applyNumberFormat="1" applyFont="1" applyFill="1" applyBorder="1" applyAlignment="1">
      <alignment horizontal="center" vertical="center" wrapText="1"/>
    </xf>
    <xf numFmtId="10" fontId="46" fillId="26" borderId="32" xfId="0" applyNumberFormat="1" applyFont="1" applyFill="1" applyBorder="1" applyAlignment="1">
      <alignment horizontal="center" vertical="center" wrapText="1"/>
    </xf>
    <xf numFmtId="4" fontId="46" fillId="26" borderId="32" xfId="0" applyNumberFormat="1" applyFont="1" applyFill="1" applyBorder="1" applyAlignment="1">
      <alignment horizontal="center" vertical="center" wrapText="1"/>
    </xf>
    <xf numFmtId="0" fontId="46" fillId="0" borderId="0" xfId="0" applyFont="1"/>
    <xf numFmtId="0" fontId="21" fillId="0" borderId="0" xfId="0" applyFont="1" applyAlignment="1" applyProtection="1">
      <alignment horizontal="center" vertical="center" wrapText="1"/>
      <protection locked="0"/>
    </xf>
    <xf numFmtId="0" fontId="38" fillId="0" borderId="0" xfId="0" applyFont="1" applyAlignment="1" applyProtection="1">
      <alignment horizontal="center" vertical="center" wrapText="1"/>
      <protection locked="0"/>
    </xf>
    <xf numFmtId="165" fontId="38" fillId="0" borderId="0" xfId="0" applyNumberFormat="1" applyFont="1" applyAlignment="1" applyProtection="1">
      <alignment horizontal="center" vertical="center"/>
      <protection locked="0"/>
    </xf>
    <xf numFmtId="0" fontId="40" fillId="0" borderId="0" xfId="0" applyFont="1" applyAlignment="1" applyProtection="1">
      <alignment horizontal="center" vertical="center"/>
      <protection locked="0"/>
    </xf>
    <xf numFmtId="4" fontId="40" fillId="0" borderId="0" xfId="0" applyNumberFormat="1" applyFont="1" applyAlignment="1" applyProtection="1">
      <alignment horizontal="center" vertical="center"/>
      <protection locked="0"/>
    </xf>
    <xf numFmtId="165" fontId="38" fillId="0" borderId="0" xfId="0" applyNumberFormat="1" applyFont="1" applyAlignment="1" applyProtection="1">
      <alignment horizontal="center" vertical="center" wrapText="1"/>
      <protection locked="0"/>
    </xf>
    <xf numFmtId="4" fontId="38" fillId="0" borderId="0" xfId="0" applyNumberFormat="1" applyFont="1" applyAlignment="1" applyProtection="1">
      <alignment vertical="center"/>
      <protection locked="0"/>
    </xf>
    <xf numFmtId="0" fontId="38" fillId="0" borderId="18" xfId="0" applyFont="1" applyBorder="1" applyAlignment="1" applyProtection="1">
      <alignment horizontal="center" vertical="center" wrapText="1"/>
      <protection locked="0"/>
    </xf>
    <xf numFmtId="0" fontId="48" fillId="0" borderId="64" xfId="0" applyFont="1" applyBorder="1" applyAlignment="1" applyProtection="1">
      <alignment horizontal="center" vertical="center" wrapText="1"/>
      <protection locked="0"/>
    </xf>
    <xf numFmtId="0" fontId="38" fillId="0" borderId="19" xfId="0" applyFont="1" applyBorder="1" applyAlignment="1" applyProtection="1">
      <alignment horizontal="center" vertical="center" wrapText="1"/>
      <protection locked="0"/>
    </xf>
    <xf numFmtId="0" fontId="38" fillId="17" borderId="19" xfId="0" applyFont="1" applyFill="1" applyBorder="1" applyAlignment="1" applyProtection="1">
      <alignment horizontal="center" vertical="center" wrapText="1"/>
      <protection locked="0"/>
    </xf>
    <xf numFmtId="165" fontId="38" fillId="0" borderId="19" xfId="0" applyNumberFormat="1" applyFont="1" applyBorder="1" applyAlignment="1" applyProtection="1">
      <alignment horizontal="center" vertical="center"/>
      <protection locked="0"/>
    </xf>
    <xf numFmtId="0" fontId="40" fillId="8" borderId="19" xfId="0" applyFont="1" applyFill="1" applyBorder="1" applyAlignment="1" applyProtection="1">
      <alignment horizontal="center" vertical="center"/>
      <protection locked="0"/>
    </xf>
    <xf numFmtId="0" fontId="40" fillId="8" borderId="19" xfId="0" applyFont="1" applyFill="1" applyBorder="1" applyAlignment="1" applyProtection="1">
      <alignment horizontal="center" vertical="center" wrapText="1"/>
      <protection locked="0"/>
    </xf>
    <xf numFmtId="0" fontId="40" fillId="0" borderId="19" xfId="0" applyFont="1" applyBorder="1" applyAlignment="1" applyProtection="1">
      <alignment horizontal="center" vertical="center"/>
      <protection locked="0"/>
    </xf>
    <xf numFmtId="4" fontId="40" fillId="0" borderId="19" xfId="0" applyNumberFormat="1" applyFont="1" applyBorder="1" applyAlignment="1" applyProtection="1">
      <alignment vertical="center"/>
      <protection locked="0"/>
    </xf>
    <xf numFmtId="0" fontId="48" fillId="0" borderId="1" xfId="0" applyFont="1" applyBorder="1" applyAlignment="1" applyProtection="1">
      <alignment horizontal="center" vertical="center" wrapText="1"/>
      <protection locked="0"/>
    </xf>
    <xf numFmtId="4" fontId="40" fillId="0" borderId="1" xfId="0" applyNumberFormat="1" applyFont="1" applyBorder="1" applyAlignment="1" applyProtection="1">
      <alignment vertical="center"/>
      <protection locked="0"/>
    </xf>
    <xf numFmtId="4" fontId="40" fillId="0" borderId="26" xfId="0" applyNumberFormat="1" applyFont="1" applyBorder="1" applyAlignment="1" applyProtection="1">
      <alignment vertical="center"/>
      <protection locked="0"/>
    </xf>
    <xf numFmtId="4" fontId="40" fillId="0" borderId="25" xfId="0" applyNumberFormat="1" applyFont="1" applyBorder="1" applyAlignment="1" applyProtection="1">
      <alignment vertical="center"/>
      <protection locked="0"/>
    </xf>
    <xf numFmtId="4" fontId="38" fillId="17" borderId="1" xfId="0" applyNumberFormat="1" applyFont="1" applyFill="1" applyBorder="1" applyAlignment="1" applyProtection="1">
      <alignment horizontal="center" vertical="center" wrapText="1"/>
      <protection locked="0"/>
    </xf>
    <xf numFmtId="165" fontId="38" fillId="0" borderId="2" xfId="0" applyNumberFormat="1" applyFont="1" applyBorder="1" applyAlignment="1" applyProtection="1">
      <alignment horizontal="center" vertical="center"/>
      <protection locked="0"/>
    </xf>
    <xf numFmtId="0" fontId="40" fillId="8" borderId="2" xfId="0" applyFont="1" applyFill="1" applyBorder="1" applyAlignment="1" applyProtection="1">
      <alignment horizontal="center" vertical="center"/>
      <protection locked="0"/>
    </xf>
    <xf numFmtId="0" fontId="40" fillId="0" borderId="2" xfId="0" applyFont="1" applyBorder="1" applyAlignment="1" applyProtection="1">
      <alignment horizontal="center" vertical="center"/>
      <protection locked="0"/>
    </xf>
    <xf numFmtId="4" fontId="40" fillId="0" borderId="2" xfId="0" applyNumberFormat="1" applyFont="1" applyBorder="1" applyAlignment="1" applyProtection="1">
      <alignment vertical="center"/>
      <protection locked="0"/>
    </xf>
    <xf numFmtId="4" fontId="40" fillId="0" borderId="52" xfId="0" applyNumberFormat="1" applyFont="1" applyBorder="1" applyAlignment="1" applyProtection="1">
      <alignment vertical="center"/>
      <protection locked="0"/>
    </xf>
    <xf numFmtId="4" fontId="40" fillId="0" borderId="65" xfId="0" applyNumberFormat="1" applyFont="1" applyBorder="1" applyAlignment="1" applyProtection="1">
      <alignment vertical="center"/>
      <protection locked="0"/>
    </xf>
    <xf numFmtId="0" fontId="48" fillId="0" borderId="55" xfId="0" applyFont="1" applyBorder="1" applyAlignment="1" applyProtection="1">
      <alignment horizontal="center" vertical="center" wrapText="1"/>
      <protection locked="0"/>
    </xf>
    <xf numFmtId="0" fontId="45" fillId="26" borderId="60" xfId="0" applyFont="1" applyFill="1" applyBorder="1" applyAlignment="1">
      <alignment horizontal="center" vertical="center"/>
    </xf>
    <xf numFmtId="0" fontId="45" fillId="26" borderId="51" xfId="0" applyFont="1" applyFill="1" applyBorder="1" applyAlignment="1">
      <alignment horizontal="center" vertical="center"/>
    </xf>
    <xf numFmtId="0" fontId="45" fillId="26" borderId="51" xfId="0" applyFont="1" applyFill="1" applyBorder="1" applyAlignment="1">
      <alignment horizontal="left" vertical="center"/>
    </xf>
    <xf numFmtId="3" fontId="45" fillId="26" borderId="41" xfId="0" applyNumberFormat="1" applyFont="1" applyFill="1" applyBorder="1" applyAlignment="1">
      <alignment horizontal="center" vertical="center"/>
    </xf>
    <xf numFmtId="165" fontId="45" fillId="26" borderId="41" xfId="0" applyNumberFormat="1" applyFont="1" applyFill="1" applyBorder="1" applyAlignment="1">
      <alignment horizontal="center" vertical="center"/>
    </xf>
    <xf numFmtId="178" fontId="45" fillId="26" borderId="41" xfId="0" applyNumberFormat="1" applyFont="1" applyFill="1" applyBorder="1" applyAlignment="1">
      <alignment horizontal="center" vertical="center"/>
    </xf>
    <xf numFmtId="165" fontId="45" fillId="26" borderId="41" xfId="0" applyNumberFormat="1" applyFont="1" applyFill="1" applyBorder="1" applyAlignment="1">
      <alignment horizontal="right" vertical="center"/>
    </xf>
    <xf numFmtId="165" fontId="45" fillId="26" borderId="41" xfId="0" applyNumberFormat="1" applyFont="1" applyFill="1" applyBorder="1" applyAlignment="1">
      <alignment horizontal="right" vertical="center" wrapText="1"/>
    </xf>
    <xf numFmtId="4" fontId="45" fillId="26" borderId="41" xfId="0" applyNumberFormat="1" applyFont="1" applyFill="1" applyBorder="1" applyAlignment="1">
      <alignment horizontal="center" vertical="center"/>
    </xf>
    <xf numFmtId="0" fontId="49" fillId="0" borderId="0" xfId="0" applyFont="1"/>
    <xf numFmtId="0" fontId="20" fillId="0" borderId="0" xfId="0" applyFont="1" applyAlignment="1" applyProtection="1">
      <alignment horizontal="center" vertical="center"/>
      <protection locked="0"/>
    </xf>
    <xf numFmtId="165" fontId="20" fillId="0" borderId="0" xfId="0" applyNumberFormat="1" applyFont="1" applyAlignment="1" applyProtection="1">
      <alignment horizontal="center" vertical="center"/>
      <protection locked="0"/>
    </xf>
    <xf numFmtId="178" fontId="20" fillId="8" borderId="0" xfId="0" applyNumberFormat="1" applyFont="1" applyFill="1" applyAlignment="1" applyProtection="1">
      <alignment horizontal="center" vertical="center"/>
      <protection locked="0"/>
    </xf>
    <xf numFmtId="178" fontId="20" fillId="8" borderId="0" xfId="0" applyNumberFormat="1" applyFont="1" applyFill="1" applyAlignment="1" applyProtection="1">
      <alignment horizontal="right" vertical="center"/>
      <protection locked="0"/>
    </xf>
    <xf numFmtId="165" fontId="20" fillId="8" borderId="0" xfId="0" applyNumberFormat="1" applyFont="1" applyFill="1" applyAlignment="1" applyProtection="1">
      <alignment horizontal="center" vertical="center" wrapText="1"/>
      <protection locked="0"/>
    </xf>
    <xf numFmtId="3" fontId="20" fillId="0" borderId="0" xfId="0" applyNumberFormat="1" applyFont="1" applyAlignment="1" applyProtection="1">
      <alignment horizontal="center" vertical="center"/>
      <protection locked="0"/>
    </xf>
    <xf numFmtId="4" fontId="20" fillId="0" borderId="0" xfId="0" applyNumberFormat="1" applyFont="1" applyAlignment="1" applyProtection="1">
      <alignment horizontal="center" vertical="center"/>
      <protection locked="0"/>
    </xf>
    <xf numFmtId="4" fontId="4" fillId="0" borderId="0" xfId="0" applyNumberFormat="1" applyFont="1" applyAlignment="1" applyProtection="1">
      <alignment horizontal="center" vertical="center"/>
      <protection locked="0"/>
    </xf>
    <xf numFmtId="0" fontId="42" fillId="22" borderId="1" xfId="0" applyFont="1" applyFill="1" applyBorder="1" applyAlignment="1" applyProtection="1">
      <alignment horizontal="center"/>
      <protection locked="0"/>
    </xf>
    <xf numFmtId="0" fontId="40" fillId="0" borderId="1" xfId="0" applyFont="1" applyBorder="1" applyAlignment="1" applyProtection="1">
      <alignment horizontal="center"/>
      <protection locked="0"/>
    </xf>
    <xf numFmtId="4" fontId="40" fillId="34" borderId="1" xfId="0" applyNumberFormat="1" applyFont="1" applyFill="1" applyBorder="1" applyAlignment="1" applyProtection="1">
      <alignment horizontal="right"/>
      <protection locked="0"/>
    </xf>
    <xf numFmtId="1" fontId="40" fillId="0" borderId="1" xfId="0" applyNumberFormat="1" applyFont="1" applyBorder="1" applyAlignment="1" applyProtection="1">
      <alignment horizontal="right"/>
      <protection locked="0"/>
    </xf>
    <xf numFmtId="4" fontId="40" fillId="0" borderId="1" xfId="0" applyNumberFormat="1" applyFont="1" applyBorder="1" applyAlignment="1" applyProtection="1">
      <alignment horizontal="right"/>
      <protection locked="0"/>
    </xf>
    <xf numFmtId="9" fontId="40" fillId="0" borderId="1" xfId="1" applyFont="1" applyBorder="1" applyAlignment="1" applyProtection="1">
      <alignment horizontal="center"/>
      <protection locked="0"/>
    </xf>
    <xf numFmtId="0" fontId="40" fillId="0" borderId="1" xfId="0" applyNumberFormat="1" applyFont="1" applyBorder="1" applyAlignment="1" applyProtection="1">
      <alignment horizontal="center"/>
      <protection locked="0"/>
    </xf>
    <xf numFmtId="165" fontId="40" fillId="0" borderId="1" xfId="0" applyNumberFormat="1" applyFont="1" applyBorder="1" applyAlignment="1" applyProtection="1">
      <alignment horizontal="center"/>
      <protection locked="0"/>
    </xf>
    <xf numFmtId="4" fontId="40" fillId="0" borderId="1" xfId="0" applyNumberFormat="1" applyFont="1" applyBorder="1" applyAlignment="1" applyProtection="1">
      <alignment horizontal="center"/>
      <protection locked="0"/>
    </xf>
    <xf numFmtId="3" fontId="40" fillId="0" borderId="0" xfId="0" applyNumberFormat="1" applyFont="1" applyAlignment="1" applyProtection="1">
      <alignment horizontal="center"/>
      <protection locked="0"/>
    </xf>
    <xf numFmtId="3" fontId="42" fillId="22" borderId="1" xfId="0" applyNumberFormat="1" applyFont="1" applyFill="1" applyBorder="1" applyAlignment="1" applyProtection="1">
      <alignment horizontal="center"/>
      <protection locked="0"/>
    </xf>
    <xf numFmtId="3" fontId="40" fillId="0" borderId="1" xfId="0" applyNumberFormat="1" applyFont="1" applyBorder="1" applyAlignment="1" applyProtection="1">
      <alignment horizontal="center"/>
      <protection locked="0"/>
    </xf>
    <xf numFmtId="3" fontId="40" fillId="0" borderId="1" xfId="0" applyNumberFormat="1" applyFont="1" applyBorder="1" applyAlignment="1" applyProtection="1">
      <alignment horizontal="right"/>
      <protection locked="0"/>
    </xf>
    <xf numFmtId="4" fontId="40" fillId="0" borderId="0" xfId="0" applyNumberFormat="1" applyFont="1" applyAlignment="1" applyProtection="1">
      <alignment horizontal="center"/>
      <protection locked="0"/>
    </xf>
    <xf numFmtId="4" fontId="40" fillId="0" borderId="0" xfId="0" applyNumberFormat="1" applyFont="1" applyProtection="1">
      <protection locked="0"/>
    </xf>
    <xf numFmtId="4" fontId="0" fillId="8" borderId="1" xfId="0" applyNumberFormat="1" applyFill="1" applyBorder="1" applyAlignment="1" applyProtection="1">
      <alignment horizontal="right" vertical="center"/>
      <protection locked="0"/>
    </xf>
    <xf numFmtId="4" fontId="0" fillId="8" borderId="1" xfId="0" applyNumberFormat="1" applyFill="1" applyBorder="1" applyAlignment="1" applyProtection="1">
      <alignment vertical="center" wrapText="1"/>
      <protection locked="0"/>
    </xf>
    <xf numFmtId="10" fontId="0" fillId="8" borderId="1" xfId="0" applyNumberFormat="1" applyFill="1" applyBorder="1" applyAlignment="1" applyProtection="1">
      <alignment horizontal="right" vertical="center"/>
      <protection locked="0"/>
    </xf>
    <xf numFmtId="0" fontId="0" fillId="8" borderId="1" xfId="0" applyFill="1" applyBorder="1" applyAlignment="1" applyProtection="1">
      <alignment vertical="center"/>
      <protection locked="0"/>
    </xf>
    <xf numFmtId="0" fontId="0" fillId="8" borderId="0" xfId="0" applyFill="1" applyBorder="1" applyAlignment="1" applyProtection="1">
      <alignment vertical="center"/>
      <protection locked="0"/>
    </xf>
    <xf numFmtId="4" fontId="50" fillId="0" borderId="0" xfId="0" applyNumberFormat="1" applyFont="1"/>
    <xf numFmtId="4" fontId="7" fillId="8" borderId="0" xfId="0" applyNumberFormat="1" applyFont="1" applyFill="1" applyAlignment="1">
      <alignment horizontal="center" vertical="center"/>
    </xf>
    <xf numFmtId="4" fontId="7" fillId="0" borderId="0" xfId="0" applyNumberFormat="1" applyFont="1" applyAlignment="1">
      <alignment horizontal="center" vertical="center"/>
    </xf>
    <xf numFmtId="4" fontId="17" fillId="0" borderId="0" xfId="0" applyNumberFormat="1" applyFont="1" applyAlignment="1">
      <alignment horizontal="center" vertical="center"/>
    </xf>
    <xf numFmtId="4" fontId="9" fillId="0" borderId="1" xfId="0" applyNumberFormat="1" applyFont="1" applyBorder="1" applyAlignment="1">
      <alignment horizontal="right" vertical="center"/>
    </xf>
    <xf numFmtId="4" fontId="51" fillId="11" borderId="1" xfId="0" applyNumberFormat="1" applyFont="1" applyFill="1" applyBorder="1" applyAlignment="1">
      <alignment horizontal="center" vertical="center" wrapText="1"/>
    </xf>
    <xf numFmtId="4" fontId="7" fillId="8" borderId="0" xfId="0" applyNumberFormat="1" applyFont="1" applyFill="1" applyBorder="1" applyAlignment="1">
      <alignment horizontal="center" vertical="center"/>
    </xf>
    <xf numFmtId="4" fontId="7" fillId="8" borderId="1" xfId="5" applyNumberFormat="1" applyFont="1" applyFill="1" applyBorder="1" applyAlignment="1">
      <alignment horizontal="center" vertical="center" wrapText="1"/>
    </xf>
    <xf numFmtId="4" fontId="7" fillId="8" borderId="0" xfId="0" applyNumberFormat="1" applyFont="1" applyFill="1" applyBorder="1" applyAlignment="1">
      <alignment horizontal="center" vertical="center" wrapText="1"/>
    </xf>
    <xf numFmtId="4" fontId="7" fillId="0" borderId="2" xfId="0" applyNumberFormat="1" applyFont="1" applyBorder="1" applyAlignment="1">
      <alignment horizontal="center" vertical="center" wrapText="1"/>
    </xf>
    <xf numFmtId="4" fontId="7" fillId="8" borderId="2" xfId="0" applyNumberFormat="1" applyFont="1" applyFill="1" applyBorder="1" applyAlignment="1">
      <alignment horizontal="center" vertical="center" wrapText="1"/>
    </xf>
    <xf numFmtId="3" fontId="8" fillId="0" borderId="0" xfId="0" applyNumberFormat="1" applyFont="1" applyAlignment="1">
      <alignment horizontal="center" vertical="center"/>
    </xf>
    <xf numFmtId="4" fontId="8" fillId="0" borderId="0" xfId="0" applyNumberFormat="1" applyFont="1" applyAlignment="1">
      <alignment horizontal="center" vertical="center"/>
    </xf>
    <xf numFmtId="4" fontId="7" fillId="10" borderId="1" xfId="0" applyNumberFormat="1" applyFont="1" applyFill="1" applyBorder="1" applyAlignment="1">
      <alignment horizontal="center" vertical="center" wrapText="1"/>
    </xf>
    <xf numFmtId="3" fontId="7" fillId="10" borderId="1" xfId="0" applyNumberFormat="1" applyFont="1" applyFill="1" applyBorder="1" applyAlignment="1">
      <alignment horizontal="center" vertical="center" wrapText="1"/>
    </xf>
    <xf numFmtId="4" fontId="7" fillId="10" borderId="1" xfId="5" applyNumberFormat="1" applyFont="1" applyFill="1" applyBorder="1" applyAlignment="1">
      <alignment horizontal="center" vertical="center" wrapText="1"/>
    </xf>
    <xf numFmtId="4" fontId="7" fillId="10" borderId="2" xfId="0" applyNumberFormat="1" applyFont="1" applyFill="1" applyBorder="1" applyAlignment="1">
      <alignment horizontal="center" vertical="center" wrapText="1"/>
    </xf>
    <xf numFmtId="3" fontId="7" fillId="10" borderId="2" xfId="0" applyNumberFormat="1" applyFont="1" applyFill="1" applyBorder="1" applyAlignment="1">
      <alignment horizontal="center" vertical="center" wrapText="1"/>
    </xf>
    <xf numFmtId="4" fontId="7" fillId="10" borderId="2" xfId="5" applyNumberFormat="1" applyFont="1" applyFill="1" applyBorder="1" applyAlignment="1">
      <alignment horizontal="center" vertical="center" wrapText="1"/>
    </xf>
    <xf numFmtId="4" fontId="7" fillId="10" borderId="26" xfId="0" applyNumberFormat="1" applyFont="1" applyFill="1" applyBorder="1" applyAlignment="1">
      <alignment horizontal="center" vertical="center" wrapText="1"/>
    </xf>
    <xf numFmtId="3" fontId="7" fillId="8" borderId="19" xfId="0" applyNumberFormat="1" applyFont="1" applyFill="1" applyBorder="1" applyAlignment="1">
      <alignment horizontal="center" vertical="center" wrapText="1"/>
    </xf>
    <xf numFmtId="4" fontId="7" fillId="8" borderId="19" xfId="0" applyNumberFormat="1" applyFont="1" applyFill="1" applyBorder="1" applyAlignment="1">
      <alignment horizontal="center" vertical="center" wrapText="1"/>
    </xf>
    <xf numFmtId="4" fontId="7" fillId="8" borderId="19" xfId="5" applyNumberFormat="1" applyFont="1" applyFill="1" applyBorder="1" applyAlignment="1">
      <alignment horizontal="center" vertical="center"/>
    </xf>
    <xf numFmtId="4" fontId="7" fillId="8" borderId="19" xfId="0" quotePrefix="1" applyNumberFormat="1" applyFont="1" applyFill="1" applyBorder="1" applyAlignment="1">
      <alignment horizontal="center" vertical="center" wrapText="1"/>
    </xf>
    <xf numFmtId="4" fontId="7" fillId="8" borderId="36" xfId="0" applyNumberFormat="1" applyFont="1" applyFill="1" applyBorder="1" applyAlignment="1">
      <alignment horizontal="center" vertical="center" wrapText="1"/>
    </xf>
    <xf numFmtId="3" fontId="7" fillId="8" borderId="1" xfId="0" applyNumberFormat="1" applyFont="1" applyFill="1" applyBorder="1" applyAlignment="1">
      <alignment horizontal="center" vertical="center" wrapText="1"/>
    </xf>
    <xf numFmtId="4" fontId="7" fillId="8" borderId="1" xfId="5" applyNumberFormat="1" applyFont="1" applyFill="1" applyBorder="1" applyAlignment="1">
      <alignment horizontal="center" vertical="center"/>
    </xf>
    <xf numFmtId="4" fontId="7" fillId="8" borderId="1" xfId="0" quotePrefix="1" applyNumberFormat="1" applyFont="1" applyFill="1" applyBorder="1" applyAlignment="1">
      <alignment horizontal="center" vertical="center" wrapText="1"/>
    </xf>
    <xf numFmtId="4" fontId="7" fillId="8" borderId="25" xfId="0" applyNumberFormat="1" applyFont="1" applyFill="1" applyBorder="1" applyAlignment="1">
      <alignment horizontal="center" vertical="center" wrapText="1"/>
    </xf>
    <xf numFmtId="3" fontId="7" fillId="8" borderId="2" xfId="0" applyNumberFormat="1" applyFont="1" applyFill="1" applyBorder="1" applyAlignment="1">
      <alignment horizontal="center" vertical="center" wrapText="1"/>
    </xf>
    <xf numFmtId="4" fontId="7" fillId="8" borderId="2" xfId="0" applyNumberFormat="1" applyFont="1" applyFill="1" applyBorder="1" applyAlignment="1">
      <alignment horizontal="center" vertical="center"/>
    </xf>
    <xf numFmtId="4" fontId="7" fillId="8" borderId="65" xfId="0" applyNumberFormat="1" applyFont="1" applyFill="1" applyBorder="1" applyAlignment="1">
      <alignment horizontal="center" vertical="center" wrapText="1"/>
    </xf>
    <xf numFmtId="3" fontId="7" fillId="37" borderId="19" xfId="0" applyNumberFormat="1" applyFont="1" applyFill="1" applyBorder="1" applyAlignment="1">
      <alignment horizontal="center" vertical="center" wrapText="1"/>
    </xf>
    <xf numFmtId="4" fontId="7" fillId="37" borderId="19" xfId="0" applyNumberFormat="1" applyFont="1" applyFill="1" applyBorder="1" applyAlignment="1">
      <alignment horizontal="center" vertical="center" wrapText="1"/>
    </xf>
    <xf numFmtId="4" fontId="7" fillId="37" borderId="19" xfId="5" applyNumberFormat="1" applyFont="1" applyFill="1" applyBorder="1" applyAlignment="1">
      <alignment horizontal="center" vertical="center"/>
    </xf>
    <xf numFmtId="4" fontId="7" fillId="37" borderId="19" xfId="0" quotePrefix="1" applyNumberFormat="1" applyFont="1" applyFill="1" applyBorder="1" applyAlignment="1">
      <alignment horizontal="center" vertical="center" wrapText="1"/>
    </xf>
    <xf numFmtId="4" fontId="7" fillId="37" borderId="36" xfId="0" applyNumberFormat="1" applyFont="1" applyFill="1" applyBorder="1" applyAlignment="1">
      <alignment horizontal="center" vertical="center" wrapText="1"/>
    </xf>
    <xf numFmtId="3" fontId="7" fillId="37" borderId="1" xfId="0" applyNumberFormat="1" applyFont="1" applyFill="1" applyBorder="1" applyAlignment="1">
      <alignment horizontal="center" vertical="center" wrapText="1"/>
    </xf>
    <xf numFmtId="4" fontId="7" fillId="37" borderId="1" xfId="0" applyNumberFormat="1" applyFont="1" applyFill="1" applyBorder="1" applyAlignment="1">
      <alignment horizontal="center" vertical="center" wrapText="1"/>
    </xf>
    <xf numFmtId="4" fontId="7" fillId="37" borderId="1" xfId="5" applyNumberFormat="1" applyFont="1" applyFill="1" applyBorder="1" applyAlignment="1">
      <alignment horizontal="center" vertical="center"/>
    </xf>
    <xf numFmtId="4" fontId="7" fillId="37" borderId="1" xfId="0" quotePrefix="1" applyNumberFormat="1" applyFont="1" applyFill="1" applyBorder="1" applyAlignment="1">
      <alignment horizontal="center" vertical="center" wrapText="1"/>
    </xf>
    <xf numFmtId="4" fontId="7" fillId="37" borderId="25" xfId="0" applyNumberFormat="1" applyFont="1" applyFill="1" applyBorder="1" applyAlignment="1">
      <alignment horizontal="center" vertical="center" wrapText="1"/>
    </xf>
    <xf numFmtId="3" fontId="7" fillId="37" borderId="2" xfId="0" applyNumberFormat="1" applyFont="1" applyFill="1" applyBorder="1" applyAlignment="1">
      <alignment horizontal="center" vertical="center" wrapText="1"/>
    </xf>
    <xf numFmtId="4" fontId="7" fillId="37" borderId="2" xfId="0" applyNumberFormat="1" applyFont="1" applyFill="1" applyBorder="1" applyAlignment="1">
      <alignment horizontal="center" vertical="center" wrapText="1"/>
    </xf>
    <xf numFmtId="4" fontId="7" fillId="37" borderId="2" xfId="0" quotePrefix="1" applyNumberFormat="1" applyFont="1" applyFill="1" applyBorder="1" applyAlignment="1">
      <alignment horizontal="center" vertical="center" wrapText="1"/>
    </xf>
    <xf numFmtId="4" fontId="7" fillId="37" borderId="65" xfId="0" applyNumberFormat="1" applyFont="1" applyFill="1" applyBorder="1" applyAlignment="1">
      <alignment horizontal="center" vertical="center" wrapText="1"/>
    </xf>
    <xf numFmtId="4" fontId="7" fillId="37" borderId="2" xfId="0" applyNumberFormat="1" applyFont="1" applyFill="1" applyBorder="1" applyAlignment="1">
      <alignment horizontal="center" vertical="center"/>
    </xf>
    <xf numFmtId="4" fontId="7" fillId="8" borderId="19" xfId="5" applyNumberFormat="1" applyFont="1" applyFill="1" applyBorder="1" applyAlignment="1">
      <alignment horizontal="center" vertical="center" wrapText="1"/>
    </xf>
    <xf numFmtId="3" fontId="7" fillId="8" borderId="41" xfId="0" applyNumberFormat="1" applyFont="1" applyFill="1" applyBorder="1" applyAlignment="1">
      <alignment horizontal="center" vertical="center" wrapText="1"/>
    </xf>
    <xf numFmtId="4" fontId="7" fillId="8" borderId="41" xfId="0" applyNumberFormat="1" applyFont="1" applyFill="1" applyBorder="1" applyAlignment="1">
      <alignment horizontal="center" vertical="center" wrapText="1"/>
    </xf>
    <xf numFmtId="4" fontId="7" fillId="8" borderId="41" xfId="5" applyNumberFormat="1" applyFont="1" applyFill="1" applyBorder="1" applyAlignment="1">
      <alignment horizontal="center" vertical="center"/>
    </xf>
    <xf numFmtId="4" fontId="7" fillId="8" borderId="41" xfId="0" quotePrefix="1" applyNumberFormat="1" applyFont="1" applyFill="1" applyBorder="1" applyAlignment="1">
      <alignment horizontal="center" vertical="center" wrapText="1"/>
    </xf>
    <xf numFmtId="4" fontId="7" fillId="8" borderId="42" xfId="0" applyNumberFormat="1" applyFont="1" applyFill="1" applyBorder="1" applyAlignment="1">
      <alignment horizontal="center" vertical="center" wrapText="1"/>
    </xf>
    <xf numFmtId="3" fontId="7" fillId="37" borderId="8" xfId="0" applyNumberFormat="1" applyFont="1" applyFill="1" applyBorder="1" applyAlignment="1">
      <alignment horizontal="center" vertical="center" wrapText="1"/>
    </xf>
    <xf numFmtId="4" fontId="7" fillId="37" borderId="8" xfId="0" applyNumberFormat="1" applyFont="1" applyFill="1" applyBorder="1" applyAlignment="1">
      <alignment horizontal="center" vertical="center" wrapText="1"/>
    </xf>
    <xf numFmtId="4" fontId="7" fillId="37" borderId="8" xfId="5" applyNumberFormat="1" applyFont="1" applyFill="1" applyBorder="1" applyAlignment="1">
      <alignment horizontal="center" vertical="center"/>
    </xf>
    <xf numFmtId="4" fontId="7" fillId="37" borderId="68" xfId="0" applyNumberFormat="1" applyFont="1" applyFill="1" applyBorder="1" applyAlignment="1">
      <alignment horizontal="center" vertical="center" wrapText="1"/>
    </xf>
    <xf numFmtId="3" fontId="7" fillId="37" borderId="41" xfId="0" applyNumberFormat="1" applyFont="1" applyFill="1" applyBorder="1" applyAlignment="1">
      <alignment horizontal="center" vertical="center" wrapText="1"/>
    </xf>
    <xf numFmtId="4" fontId="7" fillId="37" borderId="41" xfId="0" applyNumberFormat="1" applyFont="1" applyFill="1" applyBorder="1" applyAlignment="1">
      <alignment horizontal="center" vertical="center" wrapText="1"/>
    </xf>
    <xf numFmtId="4" fontId="7" fillId="37" borderId="41" xfId="5" applyNumberFormat="1" applyFont="1" applyFill="1" applyBorder="1" applyAlignment="1">
      <alignment horizontal="center" vertical="center"/>
    </xf>
    <xf numFmtId="4" fontId="7" fillId="37" borderId="42" xfId="0" applyNumberFormat="1" applyFont="1" applyFill="1" applyBorder="1" applyAlignment="1">
      <alignment horizontal="center" vertical="center" wrapText="1"/>
    </xf>
    <xf numFmtId="4" fontId="7" fillId="8" borderId="49" xfId="0" applyNumberFormat="1" applyFont="1" applyFill="1" applyBorder="1" applyAlignment="1">
      <alignment horizontal="center" vertical="center" wrapText="1"/>
    </xf>
    <xf numFmtId="3" fontId="7" fillId="8" borderId="32" xfId="0" applyNumberFormat="1" applyFont="1" applyFill="1" applyBorder="1" applyAlignment="1">
      <alignment horizontal="center" vertical="center" wrapText="1"/>
    </xf>
    <xf numFmtId="4" fontId="7" fillId="8" borderId="32" xfId="0" applyNumberFormat="1" applyFont="1" applyFill="1" applyBorder="1" applyAlignment="1">
      <alignment horizontal="center" vertical="center" wrapText="1"/>
    </xf>
    <xf numFmtId="8" fontId="7" fillId="8" borderId="32" xfId="0" applyNumberFormat="1" applyFont="1" applyFill="1" applyBorder="1" applyAlignment="1">
      <alignment horizontal="center" vertical="center"/>
    </xf>
    <xf numFmtId="4" fontId="7" fillId="8" borderId="32" xfId="5" applyNumberFormat="1" applyFont="1" applyFill="1" applyBorder="1" applyAlignment="1">
      <alignment horizontal="center" vertical="center"/>
    </xf>
    <xf numFmtId="4" fontId="7" fillId="8" borderId="50" xfId="0" applyNumberFormat="1" applyFont="1" applyFill="1" applyBorder="1" applyAlignment="1">
      <alignment horizontal="center" vertical="center" wrapText="1"/>
    </xf>
    <xf numFmtId="4" fontId="7" fillId="37" borderId="1" xfId="0" applyNumberFormat="1" applyFont="1" applyFill="1" applyBorder="1" applyAlignment="1">
      <alignment horizontal="center" vertical="center"/>
    </xf>
    <xf numFmtId="4" fontId="7" fillId="8" borderId="2" xfId="5" applyNumberFormat="1" applyFont="1" applyFill="1" applyBorder="1" applyAlignment="1">
      <alignment horizontal="center" vertical="center"/>
    </xf>
    <xf numFmtId="4" fontId="7" fillId="37" borderId="19" xfId="0" applyNumberFormat="1" applyFont="1" applyFill="1" applyBorder="1" applyAlignment="1">
      <alignment horizontal="center" vertical="center"/>
    </xf>
    <xf numFmtId="4" fontId="7" fillId="37" borderId="19" xfId="5" applyNumberFormat="1" applyFont="1" applyFill="1" applyBorder="1" applyAlignment="1">
      <alignment horizontal="center" vertical="center" wrapText="1"/>
    </xf>
    <xf numFmtId="4" fontId="7" fillId="37" borderId="1" xfId="5" applyNumberFormat="1" applyFont="1" applyFill="1" applyBorder="1" applyAlignment="1">
      <alignment horizontal="center" vertical="center" wrapText="1"/>
    </xf>
    <xf numFmtId="4" fontId="7" fillId="37" borderId="8" xfId="5" applyNumberFormat="1" applyFont="1" applyFill="1" applyBorder="1" applyAlignment="1">
      <alignment horizontal="center" vertical="center" wrapText="1"/>
    </xf>
    <xf numFmtId="49" fontId="7" fillId="37" borderId="68" xfId="0" applyNumberFormat="1" applyFont="1" applyFill="1" applyBorder="1" applyAlignment="1">
      <alignment horizontal="center" vertical="center" wrapText="1"/>
    </xf>
    <xf numFmtId="49" fontId="7" fillId="37" borderId="25" xfId="0" applyNumberFormat="1" applyFont="1" applyFill="1" applyBorder="1" applyAlignment="1">
      <alignment horizontal="center" vertical="center" wrapText="1"/>
    </xf>
    <xf numFmtId="4" fontId="7" fillId="37" borderId="69" xfId="0" applyNumberFormat="1" applyFont="1" applyFill="1" applyBorder="1" applyAlignment="1">
      <alignment horizontal="center" vertical="center" wrapText="1"/>
    </xf>
    <xf numFmtId="3" fontId="7" fillId="37" borderId="7" xfId="0" applyNumberFormat="1" applyFont="1" applyFill="1" applyBorder="1" applyAlignment="1">
      <alignment horizontal="center" vertical="center" wrapText="1"/>
    </xf>
    <xf numFmtId="4" fontId="7" fillId="37" borderId="7" xfId="0" applyNumberFormat="1" applyFont="1" applyFill="1" applyBorder="1" applyAlignment="1">
      <alignment horizontal="center" vertical="center" wrapText="1"/>
    </xf>
    <xf numFmtId="4" fontId="7" fillId="5" borderId="7" xfId="0" applyNumberFormat="1" applyFont="1" applyFill="1" applyBorder="1" applyAlignment="1">
      <alignment horizontal="center" vertical="center" wrapText="1"/>
    </xf>
    <xf numFmtId="0" fontId="7" fillId="0" borderId="1" xfId="0" applyFont="1" applyBorder="1" applyAlignment="1">
      <alignment horizontal="center"/>
    </xf>
    <xf numFmtId="4" fontId="7" fillId="37" borderId="7" xfId="0" applyNumberFormat="1" applyFont="1" applyFill="1" applyBorder="1" applyAlignment="1">
      <alignment horizontal="center" vertical="center"/>
    </xf>
    <xf numFmtId="4" fontId="7" fillId="37" borderId="7" xfId="5" applyNumberFormat="1" applyFont="1" applyFill="1" applyBorder="1" applyAlignment="1">
      <alignment horizontal="center" vertical="center" wrapText="1"/>
    </xf>
    <xf numFmtId="4" fontId="7" fillId="37" borderId="70" xfId="0" applyNumberFormat="1" applyFont="1" applyFill="1" applyBorder="1" applyAlignment="1">
      <alignment horizontal="center" vertical="center" wrapText="1"/>
    </xf>
    <xf numFmtId="4" fontId="7" fillId="0" borderId="2" xfId="0" applyNumberFormat="1" applyFont="1" applyBorder="1" applyAlignment="1">
      <alignment horizontal="center" vertical="center"/>
    </xf>
    <xf numFmtId="4" fontId="7" fillId="10" borderId="52" xfId="0" applyNumberFormat="1" applyFont="1" applyFill="1" applyBorder="1" applyAlignment="1">
      <alignment horizontal="center" vertical="center" wrapText="1"/>
    </xf>
    <xf numFmtId="4" fontId="7" fillId="0" borderId="7" xfId="0" applyNumberFormat="1" applyFont="1" applyBorder="1" applyAlignment="1">
      <alignment horizontal="center" vertical="center"/>
    </xf>
    <xf numFmtId="4" fontId="17" fillId="38" borderId="7" xfId="5" applyNumberFormat="1" applyFont="1" applyFill="1" applyBorder="1" applyAlignment="1">
      <alignment horizontal="center" vertical="center" wrapText="1"/>
    </xf>
    <xf numFmtId="4" fontId="7" fillId="38" borderId="0" xfId="0" applyNumberFormat="1" applyFont="1" applyFill="1" applyBorder="1" applyAlignment="1">
      <alignment horizontal="center" vertical="center"/>
    </xf>
    <xf numFmtId="4" fontId="7" fillId="38" borderId="70" xfId="0" applyNumberFormat="1" applyFont="1" applyFill="1" applyBorder="1" applyAlignment="1">
      <alignment horizontal="center" vertical="center"/>
    </xf>
    <xf numFmtId="3" fontId="7" fillId="8" borderId="0" xfId="0" applyNumberFormat="1" applyFont="1" applyFill="1" applyBorder="1" applyAlignment="1">
      <alignment horizontal="center" vertical="center"/>
    </xf>
    <xf numFmtId="4" fontId="7" fillId="8" borderId="0" xfId="5" applyNumberFormat="1" applyFont="1" applyFill="1" applyBorder="1" applyAlignment="1">
      <alignment horizontal="center" vertical="center"/>
    </xf>
    <xf numFmtId="3" fontId="7" fillId="0" borderId="0" xfId="0" applyNumberFormat="1" applyFont="1" applyAlignment="1">
      <alignment horizontal="center" vertical="center"/>
    </xf>
    <xf numFmtId="4" fontId="7" fillId="0" borderId="0" xfId="5" applyNumberFormat="1" applyFont="1" applyAlignment="1">
      <alignment horizontal="center" vertical="center"/>
    </xf>
    <xf numFmtId="0" fontId="23" fillId="0" borderId="0" xfId="0" applyFont="1" applyAlignment="1">
      <alignment horizontal="right"/>
    </xf>
    <xf numFmtId="0" fontId="6" fillId="0" borderId="0" xfId="0" applyFont="1" applyBorder="1"/>
    <xf numFmtId="0" fontId="6" fillId="0" borderId="23" xfId="0" applyFont="1" applyBorder="1" applyAlignment="1">
      <alignment horizontal="right"/>
    </xf>
    <xf numFmtId="9" fontId="8" fillId="0" borderId="1" xfId="0" applyNumberFormat="1" applyFont="1" applyBorder="1"/>
    <xf numFmtId="0" fontId="6" fillId="0" borderId="40" xfId="0" applyFont="1" applyBorder="1" applyAlignment="1">
      <alignment horizontal="right"/>
    </xf>
    <xf numFmtId="9" fontId="8" fillId="0" borderId="41" xfId="0" applyNumberFormat="1" applyFont="1" applyBorder="1"/>
    <xf numFmtId="0" fontId="6" fillId="0" borderId="0" xfId="0" applyFont="1" applyBorder="1" applyAlignment="1">
      <alignment horizontal="right"/>
    </xf>
    <xf numFmtId="4" fontId="8" fillId="0" borderId="0" xfId="0" applyNumberFormat="1" applyFont="1" applyBorder="1"/>
    <xf numFmtId="9" fontId="8" fillId="0" borderId="0" xfId="0" applyNumberFormat="1" applyFont="1" applyBorder="1"/>
    <xf numFmtId="0" fontId="6" fillId="14" borderId="18" xfId="0" applyFont="1" applyFill="1" applyBorder="1" applyAlignment="1">
      <alignment horizontal="left"/>
    </xf>
    <xf numFmtId="4" fontId="6" fillId="14" borderId="19" xfId="0" applyNumberFormat="1" applyFont="1" applyFill="1" applyBorder="1" applyAlignment="1">
      <alignment horizontal="right"/>
    </xf>
    <xf numFmtId="0" fontId="6" fillId="14" borderId="19" xfId="0" applyFont="1" applyFill="1" applyBorder="1" applyAlignment="1">
      <alignment horizontal="right"/>
    </xf>
    <xf numFmtId="0" fontId="6" fillId="14" borderId="19" xfId="0" applyFont="1" applyFill="1" applyBorder="1" applyAlignment="1">
      <alignment horizontal="center" vertical="center"/>
    </xf>
    <xf numFmtId="0" fontId="6" fillId="14" borderId="19" xfId="0" applyFont="1" applyFill="1" applyBorder="1" applyAlignment="1">
      <alignment wrapText="1"/>
    </xf>
    <xf numFmtId="0" fontId="6" fillId="14" borderId="19" xfId="0" applyFont="1" applyFill="1" applyBorder="1"/>
    <xf numFmtId="0" fontId="6" fillId="0" borderId="0" xfId="0" applyFont="1" applyFill="1" applyBorder="1"/>
    <xf numFmtId="0" fontId="6" fillId="39" borderId="13" xfId="0" applyFont="1" applyFill="1" applyBorder="1"/>
    <xf numFmtId="0" fontId="6" fillId="39" borderId="14" xfId="0" applyFont="1" applyFill="1" applyBorder="1"/>
    <xf numFmtId="0" fontId="6" fillId="39" borderId="44" xfId="0" applyFont="1" applyFill="1" applyBorder="1"/>
    <xf numFmtId="0" fontId="8" fillId="39" borderId="44" xfId="0" applyFont="1" applyFill="1" applyBorder="1"/>
    <xf numFmtId="0" fontId="8" fillId="39" borderId="14" xfId="0" applyFont="1" applyFill="1" applyBorder="1"/>
    <xf numFmtId="0" fontId="8" fillId="0" borderId="71" xfId="0" applyFont="1" applyBorder="1"/>
    <xf numFmtId="0" fontId="6" fillId="10" borderId="48" xfId="0" applyFont="1" applyFill="1" applyBorder="1" applyAlignment="1">
      <alignment horizontal="left"/>
    </xf>
    <xf numFmtId="0" fontId="6" fillId="39" borderId="0" xfId="0" applyFont="1" applyFill="1" applyBorder="1"/>
    <xf numFmtId="0" fontId="8" fillId="39" borderId="0" xfId="0" applyFont="1" applyFill="1"/>
    <xf numFmtId="0" fontId="6" fillId="10" borderId="1" xfId="0" applyFont="1" applyFill="1" applyBorder="1" applyAlignment="1">
      <alignment horizontal="right"/>
    </xf>
    <xf numFmtId="0" fontId="6" fillId="39" borderId="1" xfId="0" applyFont="1" applyFill="1" applyBorder="1" applyAlignment="1">
      <alignment horizontal="right"/>
    </xf>
    <xf numFmtId="0" fontId="6" fillId="39" borderId="1" xfId="0" applyFont="1" applyFill="1" applyBorder="1"/>
    <xf numFmtId="0" fontId="6" fillId="10" borderId="1" xfId="0" applyFont="1" applyFill="1" applyBorder="1" applyAlignment="1">
      <alignment horizontal="center"/>
    </xf>
    <xf numFmtId="0" fontId="6" fillId="0" borderId="1" xfId="0" applyFont="1" applyBorder="1"/>
    <xf numFmtId="167" fontId="8" fillId="39" borderId="1" xfId="0" applyNumberFormat="1" applyFont="1" applyFill="1" applyBorder="1"/>
    <xf numFmtId="167" fontId="8" fillId="0" borderId="1" xfId="0" applyNumberFormat="1" applyFont="1" applyBorder="1"/>
    <xf numFmtId="4" fontId="8" fillId="39" borderId="0" xfId="0" applyNumberFormat="1" applyFont="1" applyFill="1" applyBorder="1"/>
    <xf numFmtId="4" fontId="6" fillId="39" borderId="13" xfId="0" applyNumberFormat="1" applyFont="1" applyFill="1" applyBorder="1" applyAlignment="1">
      <alignment horizontal="right"/>
    </xf>
    <xf numFmtId="167" fontId="8" fillId="0" borderId="5" xfId="0" applyNumberFormat="1" applyFont="1" applyFill="1" applyBorder="1"/>
    <xf numFmtId="9" fontId="8" fillId="0" borderId="5" xfId="0" applyNumberFormat="1" applyFont="1" applyFill="1" applyBorder="1"/>
    <xf numFmtId="0" fontId="6" fillId="0" borderId="0" xfId="0" applyFont="1" applyFill="1" applyBorder="1" applyAlignment="1">
      <alignment horizontal="right"/>
    </xf>
    <xf numFmtId="167" fontId="8" fillId="0" borderId="0" xfId="0" applyNumberFormat="1" applyFont="1" applyFill="1" applyBorder="1"/>
    <xf numFmtId="9" fontId="8" fillId="0" borderId="0" xfId="0" applyNumberFormat="1" applyFont="1" applyFill="1" applyBorder="1"/>
    <xf numFmtId="167" fontId="8" fillId="0" borderId="0" xfId="0" applyNumberFormat="1" applyFont="1"/>
    <xf numFmtId="0" fontId="6" fillId="17" borderId="1" xfId="0" applyFont="1" applyFill="1" applyBorder="1" applyAlignment="1">
      <alignment horizontal="left" wrapText="1"/>
    </xf>
    <xf numFmtId="0" fontId="8" fillId="17" borderId="1" xfId="0" applyFont="1" applyFill="1" applyBorder="1" applyAlignment="1">
      <alignment horizontal="center" vertical="center" wrapText="1"/>
    </xf>
    <xf numFmtId="0" fontId="6" fillId="17" borderId="1" xfId="0" applyFont="1" applyFill="1" applyBorder="1" applyAlignment="1">
      <alignment horizontal="center" wrapText="1"/>
    </xf>
    <xf numFmtId="10" fontId="0" fillId="0" borderId="0" xfId="0" applyNumberFormat="1"/>
    <xf numFmtId="0" fontId="23" fillId="0" borderId="10" xfId="0" applyFont="1" applyFill="1" applyBorder="1" applyAlignment="1">
      <alignment horizontal="left" wrapText="1"/>
    </xf>
    <xf numFmtId="0" fontId="23" fillId="0" borderId="10" xfId="0" applyFont="1" applyBorder="1" applyAlignment="1">
      <alignment horizontal="left" vertical="center" wrapText="1"/>
    </xf>
    <xf numFmtId="167" fontId="8" fillId="0" borderId="41" xfId="0" applyNumberFormat="1" applyFont="1" applyBorder="1"/>
    <xf numFmtId="167" fontId="11" fillId="0" borderId="1" xfId="0" applyNumberFormat="1" applyFont="1" applyBorder="1"/>
    <xf numFmtId="9" fontId="11" fillId="0" borderId="1" xfId="0" applyNumberFormat="1" applyFont="1" applyBorder="1"/>
    <xf numFmtId="4" fontId="23" fillId="0" borderId="0" xfId="0" applyNumberFormat="1" applyFont="1" applyAlignment="1">
      <alignment vertical="center" wrapText="1"/>
    </xf>
    <xf numFmtId="10" fontId="8" fillId="0" borderId="1" xfId="1" applyNumberFormat="1" applyFont="1" applyFill="1" applyBorder="1" applyAlignment="1">
      <alignment horizontal="center"/>
    </xf>
    <xf numFmtId="4" fontId="8" fillId="0" borderId="1" xfId="4" applyNumberFormat="1" applyFont="1" applyFill="1" applyBorder="1" applyAlignment="1">
      <alignment horizontal="right" vertical="center"/>
    </xf>
    <xf numFmtId="4" fontId="8" fillId="8" borderId="1" xfId="0" applyNumberFormat="1" applyFont="1" applyFill="1" applyBorder="1" applyAlignment="1">
      <alignment vertical="center" wrapText="1"/>
    </xf>
    <xf numFmtId="4" fontId="8" fillId="0" borderId="19" xfId="0" applyNumberFormat="1" applyFont="1" applyBorder="1"/>
    <xf numFmtId="4" fontId="8" fillId="0" borderId="41" xfId="0" applyNumberFormat="1" applyFont="1" applyBorder="1" applyAlignment="1"/>
    <xf numFmtId="4" fontId="8" fillId="0" borderId="32" xfId="0" applyNumberFormat="1" applyFont="1" applyBorder="1" applyAlignment="1"/>
    <xf numFmtId="10" fontId="8" fillId="0" borderId="32" xfId="0" applyNumberFormat="1" applyFont="1" applyBorder="1" applyAlignment="1"/>
    <xf numFmtId="10" fontId="8" fillId="0" borderId="41" xfId="0" applyNumberFormat="1" applyFont="1" applyBorder="1" applyAlignment="1"/>
    <xf numFmtId="4" fontId="40" fillId="40" borderId="2" xfId="0" applyNumberFormat="1" applyFont="1" applyFill="1" applyBorder="1" applyAlignment="1" applyProtection="1">
      <alignment horizontal="center" vertical="center" wrapText="1"/>
      <protection locked="0"/>
    </xf>
    <xf numFmtId="4" fontId="11" fillId="0" borderId="26" xfId="0" applyNumberFormat="1" applyFont="1" applyFill="1" applyBorder="1"/>
    <xf numFmtId="4" fontId="8" fillId="18" borderId="56" xfId="0" applyNumberFormat="1" applyFont="1" applyFill="1" applyBorder="1" applyAlignment="1">
      <alignment horizontal="left"/>
    </xf>
    <xf numFmtId="4" fontId="8" fillId="18" borderId="75" xfId="0" applyNumberFormat="1" applyFont="1" applyFill="1" applyBorder="1" applyAlignment="1">
      <alignment horizontal="left"/>
    </xf>
    <xf numFmtId="4" fontId="8" fillId="18" borderId="20" xfId="0" applyNumberFormat="1" applyFont="1" applyFill="1" applyBorder="1" applyAlignment="1">
      <alignment horizontal="left"/>
    </xf>
    <xf numFmtId="4" fontId="8" fillId="18" borderId="55" xfId="0" applyNumberFormat="1" applyFont="1" applyFill="1" applyBorder="1" applyAlignment="1">
      <alignment horizontal="left"/>
    </xf>
    <xf numFmtId="0" fontId="6" fillId="0" borderId="26" xfId="0" applyFont="1" applyBorder="1" applyAlignment="1">
      <alignment vertical="center" wrapText="1"/>
    </xf>
    <xf numFmtId="14" fontId="0" fillId="0" borderId="1" xfId="0" applyNumberFormat="1" applyFont="1" applyBorder="1" applyAlignment="1">
      <alignment horizontal="right" vertical="center"/>
    </xf>
    <xf numFmtId="0" fontId="16" fillId="0" borderId="10" xfId="0" applyFont="1" applyBorder="1" applyAlignment="1">
      <alignment vertical="center" wrapText="1"/>
    </xf>
    <xf numFmtId="14" fontId="11" fillId="0" borderId="10" xfId="0" applyNumberFormat="1" applyFont="1" applyBorder="1" applyAlignment="1">
      <alignment horizontal="right" vertical="center"/>
    </xf>
    <xf numFmtId="0" fontId="11" fillId="0" borderId="10" xfId="0" applyFont="1" applyBorder="1" applyAlignment="1">
      <alignment horizontal="center" vertical="center" wrapText="1"/>
    </xf>
    <xf numFmtId="0" fontId="8" fillId="35" borderId="1" xfId="0" applyFont="1" applyFill="1" applyBorder="1" applyAlignment="1">
      <alignment horizontal="center" vertical="center" wrapText="1"/>
    </xf>
    <xf numFmtId="4" fontId="8" fillId="0" borderId="45" xfId="0" applyNumberFormat="1" applyFont="1" applyBorder="1" applyAlignment="1">
      <alignment vertical="center"/>
    </xf>
    <xf numFmtId="10" fontId="8" fillId="0" borderId="45" xfId="0" applyNumberFormat="1" applyFont="1" applyBorder="1" applyAlignment="1">
      <alignment vertical="center"/>
    </xf>
    <xf numFmtId="10" fontId="8" fillId="0" borderId="46" xfId="0" applyNumberFormat="1" applyFont="1" applyBorder="1" applyAlignment="1">
      <alignment vertical="center"/>
    </xf>
    <xf numFmtId="4" fontId="7" fillId="37" borderId="41" xfId="5" applyNumberFormat="1" applyFont="1" applyFill="1" applyBorder="1" applyAlignment="1">
      <alignment horizontal="center" vertical="center" wrapText="1"/>
    </xf>
    <xf numFmtId="4" fontId="23" fillId="0" borderId="0" xfId="0" applyNumberFormat="1" applyFont="1" applyFill="1" applyBorder="1" applyAlignment="1">
      <alignment vertical="center"/>
    </xf>
    <xf numFmtId="4" fontId="16" fillId="0" borderId="0" xfId="1" applyNumberFormat="1" applyFont="1" applyFill="1" applyBorder="1"/>
    <xf numFmtId="4" fontId="0" fillId="18" borderId="1" xfId="0" applyNumberFormat="1" applyFont="1" applyFill="1" applyBorder="1"/>
    <xf numFmtId="10" fontId="0" fillId="18" borderId="1" xfId="1" applyNumberFormat="1" applyFont="1" applyFill="1" applyBorder="1"/>
    <xf numFmtId="4" fontId="55" fillId="18" borderId="1" xfId="0" applyNumberFormat="1" applyFont="1" applyFill="1" applyBorder="1" applyAlignment="1">
      <alignment horizontal="center"/>
    </xf>
    <xf numFmtId="0" fontId="0" fillId="18" borderId="1" xfId="0" applyFont="1" applyFill="1" applyBorder="1"/>
    <xf numFmtId="4" fontId="0" fillId="0" borderId="1" xfId="0" applyNumberFormat="1" applyFont="1" applyBorder="1"/>
    <xf numFmtId="4" fontId="0" fillId="18" borderId="26" xfId="0" applyNumberFormat="1" applyFont="1" applyFill="1" applyBorder="1"/>
    <xf numFmtId="4" fontId="54" fillId="0" borderId="1" xfId="0" applyNumberFormat="1" applyFont="1" applyFill="1" applyBorder="1" applyAlignment="1">
      <alignment horizontal="center"/>
    </xf>
    <xf numFmtId="0" fontId="33" fillId="0" borderId="26" xfId="0" applyFont="1" applyFill="1" applyBorder="1" applyAlignment="1">
      <alignment horizontal="left"/>
    </xf>
    <xf numFmtId="4" fontId="33" fillId="0" borderId="1" xfId="0" applyNumberFormat="1" applyFont="1" applyFill="1" applyBorder="1" applyAlignment="1"/>
    <xf numFmtId="4" fontId="0" fillId="0" borderId="10" xfId="0" applyNumberFormat="1" applyFont="1" applyFill="1" applyBorder="1" applyAlignment="1"/>
    <xf numFmtId="10" fontId="0" fillId="0" borderId="2" xfId="1" applyNumberFormat="1" applyFont="1" applyFill="1" applyBorder="1" applyAlignment="1"/>
    <xf numFmtId="4" fontId="0" fillId="0" borderId="2" xfId="0" applyNumberFormat="1" applyFont="1" applyFill="1" applyBorder="1" applyAlignment="1"/>
    <xf numFmtId="0" fontId="0" fillId="0" borderId="1" xfId="0" applyFont="1" applyBorder="1"/>
    <xf numFmtId="4" fontId="0" fillId="8" borderId="1" xfId="0" applyNumberFormat="1" applyFont="1" applyFill="1" applyBorder="1" applyAlignment="1">
      <alignment vertical="center" wrapText="1"/>
    </xf>
    <xf numFmtId="4" fontId="2" fillId="0" borderId="0" xfId="0" applyNumberFormat="1" applyFont="1"/>
    <xf numFmtId="167" fontId="7" fillId="12" borderId="30" xfId="0" applyNumberFormat="1" applyFont="1" applyFill="1" applyBorder="1" applyAlignment="1">
      <alignment vertical="center"/>
    </xf>
    <xf numFmtId="164" fontId="7" fillId="12" borderId="2" xfId="0" applyNumberFormat="1" applyFont="1" applyFill="1" applyBorder="1" applyAlignment="1">
      <alignment horizontal="center" vertical="center"/>
    </xf>
    <xf numFmtId="10" fontId="7" fillId="12" borderId="2" xfId="0" applyNumberFormat="1" applyFont="1" applyFill="1" applyBorder="1" applyAlignment="1">
      <alignment horizontal="right" vertical="center"/>
    </xf>
    <xf numFmtId="0" fontId="8" fillId="12" borderId="0" xfId="0" applyFont="1" applyFill="1"/>
    <xf numFmtId="44" fontId="7" fillId="12" borderId="23" xfId="0" applyNumberFormat="1" applyFont="1" applyFill="1" applyBorder="1" applyAlignment="1">
      <alignment vertical="center"/>
    </xf>
    <xf numFmtId="164" fontId="7" fillId="12" borderId="1" xfId="0" applyNumberFormat="1" applyFont="1" applyFill="1" applyBorder="1" applyAlignment="1">
      <alignment horizontal="center" vertical="center"/>
    </xf>
    <xf numFmtId="10" fontId="7" fillId="12" borderId="1" xfId="0" applyNumberFormat="1" applyFont="1" applyFill="1" applyBorder="1" applyAlignment="1">
      <alignment horizontal="right" vertical="center"/>
    </xf>
    <xf numFmtId="0" fontId="7" fillId="13" borderId="1" xfId="0" applyFont="1" applyFill="1" applyBorder="1" applyAlignment="1">
      <alignment horizontal="center" vertical="center" wrapText="1"/>
    </xf>
    <xf numFmtId="4" fontId="8" fillId="13" borderId="0" xfId="0" applyNumberFormat="1" applyFont="1" applyFill="1" applyAlignment="1">
      <alignment horizontal="right"/>
    </xf>
    <xf numFmtId="4" fontId="8" fillId="13" borderId="1" xfId="0" applyNumberFormat="1" applyFont="1" applyFill="1" applyBorder="1" applyAlignment="1">
      <alignment horizontal="right"/>
    </xf>
    <xf numFmtId="10" fontId="8" fillId="13" borderId="20" xfId="0" applyNumberFormat="1" applyFont="1" applyFill="1" applyBorder="1" applyAlignment="1">
      <alignment horizontal="right"/>
    </xf>
    <xf numFmtId="10" fontId="8" fillId="13" borderId="21" xfId="0" applyNumberFormat="1" applyFont="1" applyFill="1" applyBorder="1" applyAlignment="1">
      <alignment horizontal="right"/>
    </xf>
    <xf numFmtId="4" fontId="7" fillId="8" borderId="0" xfId="0" applyNumberFormat="1" applyFont="1" applyFill="1" applyAlignment="1">
      <alignment horizontal="left"/>
    </xf>
    <xf numFmtId="1" fontId="7" fillId="8" borderId="0" xfId="0" applyNumberFormat="1" applyFont="1" applyFill="1" applyAlignment="1">
      <alignment horizontal="center" vertical="center"/>
    </xf>
    <xf numFmtId="4" fontId="17" fillId="11" borderId="1" xfId="0" applyNumberFormat="1" applyFont="1" applyFill="1" applyBorder="1" applyAlignment="1">
      <alignment horizontal="center" vertical="center" wrapText="1"/>
    </xf>
    <xf numFmtId="4" fontId="17" fillId="30" borderId="1" xfId="0" applyNumberFormat="1" applyFont="1" applyFill="1" applyBorder="1" applyAlignment="1">
      <alignment horizontal="center" vertical="center" wrapText="1"/>
    </xf>
    <xf numFmtId="4" fontId="17" fillId="13" borderId="1" xfId="0" applyNumberFormat="1" applyFont="1" applyFill="1" applyBorder="1" applyAlignment="1">
      <alignment horizontal="center" vertical="center" wrapText="1"/>
    </xf>
    <xf numFmtId="4" fontId="17" fillId="13" borderId="1" xfId="0" applyNumberFormat="1" applyFont="1" applyFill="1" applyBorder="1" applyAlignment="1">
      <alignment horizontal="left" vertical="center" wrapText="1"/>
    </xf>
    <xf numFmtId="10" fontId="17" fillId="30" borderId="1" xfId="1" applyNumberFormat="1" applyFont="1" applyFill="1" applyBorder="1" applyAlignment="1">
      <alignment horizontal="center" vertical="center" wrapText="1"/>
    </xf>
    <xf numFmtId="10" fontId="17" fillId="13" borderId="1" xfId="1" applyNumberFormat="1" applyFont="1" applyFill="1" applyBorder="1" applyAlignment="1">
      <alignment horizontal="center" vertical="center" wrapText="1"/>
    </xf>
    <xf numFmtId="4" fontId="17" fillId="11" borderId="1" xfId="1" applyNumberFormat="1" applyFont="1" applyFill="1" applyBorder="1" applyAlignment="1">
      <alignment horizontal="center" vertical="center" wrapText="1"/>
    </xf>
    <xf numFmtId="10" fontId="8" fillId="13" borderId="1" xfId="1" applyNumberFormat="1" applyFont="1" applyFill="1" applyBorder="1" applyAlignment="1">
      <alignment horizontal="left" vertical="center" wrapText="1"/>
    </xf>
    <xf numFmtId="4" fontId="17" fillId="0" borderId="1" xfId="0" applyNumberFormat="1" applyFont="1" applyFill="1" applyBorder="1" applyAlignment="1">
      <alignment horizontal="center" vertical="center" wrapText="1"/>
    </xf>
    <xf numFmtId="4" fontId="17" fillId="0" borderId="1" xfId="1"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4" fontId="17" fillId="0" borderId="0" xfId="0" applyNumberFormat="1" applyFont="1" applyBorder="1" applyAlignment="1">
      <alignment horizontal="center" vertical="center" wrapText="1"/>
    </xf>
    <xf numFmtId="4" fontId="17" fillId="0" borderId="0" xfId="1" applyNumberFormat="1" applyFont="1" applyBorder="1" applyAlignment="1">
      <alignment horizontal="center" vertical="center" wrapText="1"/>
    </xf>
    <xf numFmtId="4" fontId="7" fillId="0" borderId="0" xfId="0" applyNumberFormat="1" applyFont="1" applyBorder="1" applyAlignment="1">
      <alignment horizontal="center" vertical="center" wrapText="1"/>
    </xf>
    <xf numFmtId="4" fontId="8" fillId="0" borderId="0" xfId="0" applyNumberFormat="1" applyFont="1" applyBorder="1" applyAlignment="1">
      <alignment horizontal="center" vertical="center" wrapText="1"/>
    </xf>
    <xf numFmtId="4" fontId="10" fillId="8" borderId="1" xfId="0" applyNumberFormat="1" applyFont="1" applyFill="1" applyBorder="1" applyAlignment="1">
      <alignment horizontal="center" vertical="center" wrapText="1"/>
    </xf>
    <xf numFmtId="4" fontId="10" fillId="8" borderId="1" xfId="0" applyNumberFormat="1" applyFont="1" applyFill="1" applyBorder="1" applyAlignment="1">
      <alignment horizontal="left" wrapText="1"/>
    </xf>
    <xf numFmtId="1" fontId="10" fillId="8" borderId="1" xfId="0" applyNumberFormat="1" applyFont="1" applyFill="1" applyBorder="1" applyAlignment="1">
      <alignment horizontal="center" vertical="center" wrapText="1"/>
    </xf>
    <xf numFmtId="4" fontId="17" fillId="0" borderId="1" xfId="0" applyNumberFormat="1" applyFont="1" applyBorder="1" applyAlignment="1">
      <alignment horizontal="center" vertical="center" wrapText="1" shrinkToFit="1"/>
    </xf>
    <xf numFmtId="4" fontId="56" fillId="8" borderId="1" xfId="0" applyNumberFormat="1" applyFont="1" applyFill="1" applyBorder="1" applyAlignment="1">
      <alignment horizontal="center" vertical="center" wrapText="1"/>
    </xf>
    <xf numFmtId="4" fontId="56" fillId="8" borderId="1" xfId="0" applyNumberFormat="1" applyFont="1" applyFill="1" applyBorder="1" applyAlignment="1">
      <alignment horizontal="center" vertical="center"/>
    </xf>
    <xf numFmtId="4" fontId="56" fillId="8" borderId="1" xfId="0" applyNumberFormat="1" applyFont="1" applyFill="1" applyBorder="1" applyAlignment="1">
      <alignment horizontal="left"/>
    </xf>
    <xf numFmtId="1" fontId="56" fillId="8" borderId="1" xfId="0" applyNumberFormat="1" applyFont="1" applyFill="1" applyBorder="1" applyAlignment="1">
      <alignment horizontal="center" vertical="center"/>
    </xf>
    <xf numFmtId="4" fontId="7" fillId="11" borderId="1" xfId="0" applyNumberFormat="1" applyFont="1" applyFill="1" applyBorder="1" applyAlignment="1">
      <alignment horizontal="center" vertical="center" wrapText="1"/>
    </xf>
    <xf numFmtId="4" fontId="7" fillId="0" borderId="1" xfId="0" applyNumberFormat="1" applyFont="1" applyBorder="1" applyAlignment="1">
      <alignment horizontal="right" vertical="center"/>
    </xf>
    <xf numFmtId="4" fontId="7" fillId="0" borderId="1" xfId="0" applyNumberFormat="1" applyFont="1" applyBorder="1" applyAlignment="1">
      <alignment horizontal="right" vertical="center" wrapText="1"/>
    </xf>
    <xf numFmtId="1" fontId="56" fillId="0" borderId="1" xfId="0" applyNumberFormat="1" applyFont="1" applyFill="1" applyBorder="1" applyAlignment="1">
      <alignment horizontal="center" vertical="center"/>
    </xf>
    <xf numFmtId="1" fontId="56" fillId="35" borderId="1" xfId="0" applyNumberFormat="1" applyFont="1" applyFill="1" applyBorder="1" applyAlignment="1">
      <alignment horizontal="center" vertical="center"/>
    </xf>
    <xf numFmtId="4" fontId="7" fillId="0" borderId="1" xfId="0" applyNumberFormat="1" applyFont="1" applyBorder="1" applyAlignment="1">
      <alignment vertical="center" wrapText="1"/>
    </xf>
    <xf numFmtId="4" fontId="7" fillId="0" borderId="0" xfId="0" applyNumberFormat="1" applyFont="1" applyBorder="1" applyAlignment="1">
      <alignment horizontal="right" vertical="center"/>
    </xf>
    <xf numFmtId="4" fontId="7" fillId="0" borderId="1" xfId="3" applyNumberFormat="1" applyFont="1" applyBorder="1" applyAlignment="1">
      <alignment horizontal="center" vertical="center" wrapText="1"/>
    </xf>
    <xf numFmtId="4" fontId="7" fillId="11" borderId="1" xfId="3" applyNumberFormat="1" applyFont="1" applyFill="1" applyBorder="1" applyAlignment="1">
      <alignment horizontal="center" vertical="center" wrapText="1"/>
    </xf>
    <xf numFmtId="4" fontId="7" fillId="8" borderId="1" xfId="3" applyNumberFormat="1" applyFont="1" applyFill="1" applyBorder="1" applyAlignment="1">
      <alignment horizontal="center" vertical="center" wrapText="1"/>
    </xf>
    <xf numFmtId="4" fontId="56" fillId="0" borderId="1" xfId="0" applyNumberFormat="1" applyFont="1" applyFill="1" applyBorder="1" applyAlignment="1">
      <alignment horizontal="center" vertical="center"/>
    </xf>
    <xf numFmtId="4" fontId="7" fillId="11" borderId="1" xfId="3" applyNumberFormat="1" applyFont="1" applyFill="1" applyBorder="1" applyAlignment="1">
      <alignment horizontal="center" vertical="center"/>
    </xf>
    <xf numFmtId="4" fontId="7" fillId="8" borderId="1" xfId="0" applyNumberFormat="1" applyFont="1" applyFill="1" applyBorder="1" applyAlignment="1">
      <alignment horizontal="left"/>
    </xf>
    <xf numFmtId="4" fontId="7" fillId="8" borderId="1" xfId="0" applyNumberFormat="1" applyFont="1" applyFill="1" applyBorder="1" applyAlignment="1">
      <alignment horizontal="center" vertical="center"/>
    </xf>
    <xf numFmtId="4" fontId="7" fillId="0" borderId="1" xfId="0" applyNumberFormat="1" applyFont="1" applyBorder="1" applyAlignment="1">
      <alignment vertical="center"/>
    </xf>
    <xf numFmtId="4" fontId="56" fillId="0" borderId="1" xfId="0" applyNumberFormat="1" applyFont="1" applyFill="1" applyBorder="1" applyAlignment="1">
      <alignment horizontal="center" vertical="center" wrapText="1"/>
    </xf>
    <xf numFmtId="1" fontId="7" fillId="8" borderId="1" xfId="0" applyNumberFormat="1" applyFont="1" applyFill="1" applyBorder="1" applyAlignment="1">
      <alignment horizontal="center" vertical="center"/>
    </xf>
    <xf numFmtId="4" fontId="7" fillId="0" borderId="1" xfId="3" applyNumberFormat="1" applyFont="1" applyBorder="1" applyAlignment="1">
      <alignment horizontal="center" vertical="center"/>
    </xf>
    <xf numFmtId="4" fontId="7" fillId="8" borderId="1" xfId="3" applyNumberFormat="1" applyFont="1" applyFill="1" applyBorder="1" applyAlignment="1">
      <alignment horizontal="center" vertical="center"/>
    </xf>
    <xf numFmtId="4" fontId="7" fillId="0" borderId="1" xfId="3" applyNumberFormat="1" applyFont="1" applyFill="1" applyBorder="1" applyAlignment="1">
      <alignment horizontal="center" vertical="center"/>
    </xf>
    <xf numFmtId="4" fontId="7" fillId="30" borderId="1" xfId="0" applyNumberFormat="1" applyFont="1" applyFill="1" applyBorder="1" applyAlignment="1">
      <alignment horizontal="center" vertical="center" wrapText="1"/>
    </xf>
    <xf numFmtId="4" fontId="56" fillId="8" borderId="8" xfId="0" applyNumberFormat="1" applyFont="1" applyFill="1" applyBorder="1" applyAlignment="1">
      <alignment horizontal="center" vertical="center" wrapText="1"/>
    </xf>
    <xf numFmtId="14" fontId="7" fillId="8" borderId="1" xfId="0" applyNumberFormat="1" applyFont="1" applyFill="1" applyBorder="1" applyAlignment="1">
      <alignment horizontal="left"/>
    </xf>
    <xf numFmtId="4" fontId="7" fillId="11" borderId="26" xfId="3" applyNumberFormat="1" applyFont="1" applyFill="1" applyBorder="1" applyAlignment="1">
      <alignment horizontal="center" vertical="center"/>
    </xf>
    <xf numFmtId="4" fontId="56" fillId="0" borderId="8" xfId="0" applyNumberFormat="1" applyFont="1" applyFill="1" applyBorder="1" applyAlignment="1">
      <alignment horizontal="center" vertical="center" wrapText="1"/>
    </xf>
    <xf numFmtId="179" fontId="56" fillId="8" borderId="8" xfId="0" applyNumberFormat="1" applyFont="1" applyFill="1" applyBorder="1" applyAlignment="1">
      <alignment horizontal="center" vertical="center" wrapText="1"/>
    </xf>
    <xf numFmtId="4" fontId="10" fillId="8" borderId="1" xfId="0" applyNumberFormat="1" applyFont="1" applyFill="1" applyBorder="1" applyAlignment="1">
      <alignment horizontal="center" vertical="center"/>
    </xf>
    <xf numFmtId="4" fontId="10" fillId="8" borderId="1" xfId="0" applyNumberFormat="1" applyFont="1" applyFill="1" applyBorder="1" applyAlignment="1">
      <alignment horizontal="left"/>
    </xf>
    <xf numFmtId="1" fontId="10" fillId="8" borderId="1" xfId="0" applyNumberFormat="1" applyFont="1" applyFill="1" applyBorder="1" applyAlignment="1">
      <alignment horizontal="center" vertical="center"/>
    </xf>
    <xf numFmtId="10" fontId="8" fillId="0" borderId="0" xfId="1" applyNumberFormat="1" applyFont="1" applyAlignment="1">
      <alignment horizontal="center" vertical="center" wrapText="1"/>
    </xf>
    <xf numFmtId="10" fontId="7" fillId="0" borderId="0" xfId="1" applyNumberFormat="1" applyFont="1" applyAlignment="1">
      <alignment horizontal="center" vertical="center"/>
    </xf>
    <xf numFmtId="4" fontId="17" fillId="0" borderId="1" xfId="0" applyNumberFormat="1" applyFont="1" applyFill="1" applyBorder="1" applyAlignment="1">
      <alignment horizontal="center" vertical="center"/>
    </xf>
    <xf numFmtId="4" fontId="17" fillId="11" borderId="1" xfId="3" applyNumberFormat="1" applyFont="1" applyFill="1" applyBorder="1" applyAlignment="1">
      <alignment horizontal="center" vertical="center"/>
    </xf>
    <xf numFmtId="4" fontId="7" fillId="0" borderId="1" xfId="0" applyNumberFormat="1" applyFont="1" applyBorder="1" applyAlignment="1">
      <alignment horizontal="left" vertical="center"/>
    </xf>
    <xf numFmtId="4" fontId="7" fillId="0" borderId="0" xfId="0" applyNumberFormat="1" applyFont="1" applyBorder="1" applyAlignment="1">
      <alignment horizontal="center" vertical="center"/>
    </xf>
    <xf numFmtId="4" fontId="17" fillId="8" borderId="0" xfId="0" applyNumberFormat="1" applyFont="1" applyFill="1" applyAlignment="1">
      <alignment horizontal="center" vertical="center"/>
    </xf>
    <xf numFmtId="4" fontId="17" fillId="8" borderId="0" xfId="0" applyNumberFormat="1" applyFont="1" applyFill="1" applyAlignment="1">
      <alignment horizontal="left"/>
    </xf>
    <xf numFmtId="1" fontId="17" fillId="8" borderId="0" xfId="0" applyNumberFormat="1" applyFont="1" applyFill="1" applyAlignment="1">
      <alignment horizontal="center" vertical="center"/>
    </xf>
    <xf numFmtId="4" fontId="17" fillId="0" borderId="0" xfId="0" applyNumberFormat="1" applyFont="1" applyBorder="1" applyAlignment="1">
      <alignment horizontal="center" vertical="center"/>
    </xf>
    <xf numFmtId="4" fontId="17" fillId="0" borderId="0" xfId="3" applyNumberFormat="1" applyFont="1" applyBorder="1" applyAlignment="1">
      <alignment horizontal="center" vertical="center" wrapText="1"/>
    </xf>
    <xf numFmtId="4" fontId="17" fillId="0" borderId="20" xfId="0" applyNumberFormat="1" applyFont="1" applyBorder="1" applyAlignment="1">
      <alignment horizontal="center" vertical="center" wrapText="1"/>
    </xf>
    <xf numFmtId="4" fontId="8" fillId="0" borderId="1" xfId="0" applyNumberFormat="1" applyFont="1" applyBorder="1" applyAlignment="1">
      <alignment horizontal="center" vertical="center"/>
    </xf>
    <xf numFmtId="4" fontId="7" fillId="11" borderId="55" xfId="0" applyNumberFormat="1" applyFont="1" applyFill="1" applyBorder="1" applyAlignment="1">
      <alignment horizontal="center" vertical="center" wrapText="1"/>
    </xf>
    <xf numFmtId="4" fontId="7" fillId="0" borderId="8" xfId="0" applyNumberFormat="1" applyFont="1" applyBorder="1" applyAlignment="1">
      <alignment horizontal="center" vertical="center" wrapText="1"/>
    </xf>
    <xf numFmtId="43" fontId="7" fillId="8" borderId="1" xfId="3" applyFont="1" applyFill="1" applyBorder="1" applyAlignment="1">
      <alignment horizontal="center" vertical="center" wrapText="1"/>
    </xf>
    <xf numFmtId="4" fontId="56" fillId="11" borderId="1" xfId="0" applyNumberFormat="1" applyFont="1" applyFill="1" applyBorder="1" applyAlignment="1">
      <alignment horizontal="center" vertical="center" wrapText="1"/>
    </xf>
    <xf numFmtId="1" fontId="17" fillId="8" borderId="1" xfId="0" applyNumberFormat="1" applyFont="1" applyFill="1" applyBorder="1" applyAlignment="1">
      <alignment horizontal="center" vertical="center"/>
    </xf>
    <xf numFmtId="4" fontId="17" fillId="0" borderId="20" xfId="0" applyNumberFormat="1" applyFont="1" applyBorder="1" applyAlignment="1">
      <alignment horizontal="center" vertical="center"/>
    </xf>
    <xf numFmtId="4" fontId="17" fillId="0" borderId="1" xfId="0" applyNumberFormat="1" applyFont="1" applyBorder="1" applyAlignment="1">
      <alignment vertical="center"/>
    </xf>
    <xf numFmtId="4" fontId="17" fillId="11" borderId="8" xfId="3" applyNumberFormat="1" applyFont="1" applyFill="1" applyBorder="1" applyAlignment="1">
      <alignment horizontal="center" vertical="center"/>
    </xf>
    <xf numFmtId="4" fontId="7" fillId="0" borderId="0" xfId="3" applyNumberFormat="1" applyFont="1" applyAlignment="1">
      <alignment horizontal="center" vertical="center"/>
    </xf>
    <xf numFmtId="4" fontId="17" fillId="11" borderId="1" xfId="0" applyNumberFormat="1" applyFont="1" applyFill="1" applyBorder="1" applyAlignment="1">
      <alignment horizontal="center" vertical="center"/>
    </xf>
    <xf numFmtId="4" fontId="17" fillId="0" borderId="1" xfId="3" applyNumberFormat="1" applyFont="1" applyBorder="1" applyAlignment="1">
      <alignment horizontal="center" vertical="center"/>
    </xf>
    <xf numFmtId="4" fontId="17" fillId="28" borderId="1" xfId="0" applyNumberFormat="1" applyFont="1" applyFill="1" applyBorder="1" applyAlignment="1">
      <alignment horizontal="center" vertical="center" wrapText="1"/>
    </xf>
    <xf numFmtId="4" fontId="17" fillId="14" borderId="1" xfId="0" applyNumberFormat="1" applyFont="1" applyFill="1" applyBorder="1" applyAlignment="1">
      <alignment horizontal="center" vertical="center" wrapText="1"/>
    </xf>
    <xf numFmtId="4" fontId="17" fillId="8" borderId="0" xfId="0" applyNumberFormat="1" applyFont="1" applyFill="1" applyBorder="1" applyAlignment="1">
      <alignment horizontal="center" vertical="center"/>
    </xf>
    <xf numFmtId="4" fontId="17" fillId="8" borderId="0" xfId="0" applyNumberFormat="1" applyFont="1" applyFill="1" applyBorder="1" applyAlignment="1">
      <alignment horizontal="left"/>
    </xf>
    <xf numFmtId="4" fontId="7" fillId="8" borderId="0" xfId="0" applyNumberFormat="1" applyFont="1" applyFill="1" applyBorder="1" applyAlignment="1">
      <alignment horizontal="left"/>
    </xf>
    <xf numFmtId="4" fontId="17" fillId="0" borderId="55" xfId="0" applyNumberFormat="1" applyFont="1" applyBorder="1" applyAlignment="1">
      <alignment horizontal="center" vertical="center" wrapText="1"/>
    </xf>
    <xf numFmtId="0" fontId="7" fillId="0" borderId="1" xfId="0" applyNumberFormat="1" applyFont="1" applyFill="1" applyBorder="1" applyAlignment="1">
      <alignment horizontal="center" vertical="center" wrapText="1"/>
    </xf>
    <xf numFmtId="4" fontId="58" fillId="0" borderId="0" xfId="0" applyNumberFormat="1" applyFont="1" applyAlignment="1">
      <alignment vertical="center" wrapText="1"/>
    </xf>
    <xf numFmtId="4" fontId="8" fillId="0" borderId="0" xfId="0" applyNumberFormat="1" applyFont="1" applyAlignment="1">
      <alignment vertical="center"/>
    </xf>
    <xf numFmtId="4" fontId="58" fillId="0" borderId="0" xfId="0" applyNumberFormat="1" applyFont="1" applyAlignment="1">
      <alignment vertical="center"/>
    </xf>
    <xf numFmtId="4" fontId="56" fillId="8" borderId="55" xfId="0" applyNumberFormat="1" applyFont="1" applyFill="1" applyBorder="1" applyAlignment="1">
      <alignment horizontal="center" vertical="center" wrapText="1"/>
    </xf>
    <xf numFmtId="4" fontId="17" fillId="8" borderId="1" xfId="0" applyNumberFormat="1" applyFont="1" applyFill="1" applyBorder="1" applyAlignment="1">
      <alignment horizontal="left"/>
    </xf>
    <xf numFmtId="4" fontId="17" fillId="0" borderId="2" xfId="0" applyNumberFormat="1" applyFont="1" applyBorder="1" applyAlignment="1">
      <alignment horizontal="center" vertical="center" wrapText="1"/>
    </xf>
    <xf numFmtId="0" fontId="17" fillId="0" borderId="55" xfId="0" applyNumberFormat="1" applyFont="1" applyBorder="1" applyAlignment="1">
      <alignment horizontal="center" vertical="center" wrapText="1"/>
    </xf>
    <xf numFmtId="4" fontId="7" fillId="8" borderId="2" xfId="3" applyNumberFormat="1" applyFont="1" applyFill="1" applyBorder="1" applyAlignment="1">
      <alignment horizontal="center" vertical="center" wrapText="1"/>
    </xf>
    <xf numFmtId="4" fontId="17" fillId="11" borderId="55" xfId="0" applyNumberFormat="1" applyFont="1" applyFill="1" applyBorder="1" applyAlignment="1">
      <alignment horizontal="center" vertical="center" wrapText="1"/>
    </xf>
    <xf numFmtId="4" fontId="17" fillId="8" borderId="0" xfId="0" applyNumberFormat="1" applyFont="1" applyFill="1" applyBorder="1" applyAlignment="1">
      <alignment horizontal="center" vertical="center" wrapText="1"/>
    </xf>
    <xf numFmtId="4" fontId="7" fillId="8" borderId="0" xfId="0" applyNumberFormat="1" applyFont="1" applyFill="1" applyBorder="1" applyAlignment="1">
      <alignment vertical="center"/>
    </xf>
    <xf numFmtId="4" fontId="7" fillId="0" borderId="0" xfId="0" applyNumberFormat="1" applyFont="1" applyAlignment="1">
      <alignment vertical="center"/>
    </xf>
    <xf numFmtId="0" fontId="10" fillId="8" borderId="1" xfId="0" applyFont="1" applyFill="1" applyBorder="1" applyAlignment="1">
      <alignment horizontal="center" vertical="center" wrapText="1"/>
    </xf>
    <xf numFmtId="4" fontId="10" fillId="11" borderId="1" xfId="0" applyNumberFormat="1" applyFont="1" applyFill="1" applyBorder="1" applyAlignment="1">
      <alignment horizontal="center" vertical="center" wrapText="1"/>
    </xf>
    <xf numFmtId="1" fontId="7" fillId="8" borderId="0" xfId="0" applyNumberFormat="1" applyFont="1" applyFill="1" applyBorder="1" applyAlignment="1">
      <alignment horizontal="center" vertical="center"/>
    </xf>
    <xf numFmtId="0" fontId="10" fillId="8" borderId="0" xfId="0" applyFont="1" applyFill="1" applyBorder="1" applyAlignment="1">
      <alignment horizontal="center" vertical="center" wrapText="1"/>
    </xf>
    <xf numFmtId="4" fontId="17" fillId="8" borderId="0" xfId="0" applyNumberFormat="1" applyFont="1" applyFill="1" applyBorder="1" applyAlignment="1">
      <alignment vertical="center" wrapText="1"/>
    </xf>
    <xf numFmtId="0" fontId="31" fillId="8" borderId="0" xfId="0" applyFont="1" applyFill="1" applyBorder="1" applyAlignment="1">
      <alignment vertical="center" wrapText="1"/>
    </xf>
    <xf numFmtId="4" fontId="7" fillId="4" borderId="1" xfId="0" applyNumberFormat="1" applyFont="1" applyFill="1" applyBorder="1" applyAlignment="1">
      <alignment horizontal="center" vertical="center" wrapText="1"/>
    </xf>
    <xf numFmtId="4" fontId="7" fillId="8" borderId="0" xfId="3" applyNumberFormat="1" applyFont="1" applyFill="1" applyBorder="1" applyAlignment="1">
      <alignment horizontal="center" vertical="center"/>
    </xf>
    <xf numFmtId="4" fontId="7" fillId="4" borderId="2" xfId="0" applyNumberFormat="1" applyFont="1" applyFill="1" applyBorder="1" applyAlignment="1">
      <alignment horizontal="center" vertical="center" wrapText="1"/>
    </xf>
    <xf numFmtId="4" fontId="7" fillId="11" borderId="2" xfId="0" applyNumberFormat="1" applyFont="1" applyFill="1" applyBorder="1" applyAlignment="1">
      <alignment horizontal="center" vertical="center" wrapText="1"/>
    </xf>
    <xf numFmtId="4" fontId="17" fillId="4" borderId="34" xfId="0" applyNumberFormat="1" applyFont="1" applyFill="1" applyBorder="1" applyAlignment="1">
      <alignment horizontal="center" vertical="center" wrapText="1"/>
    </xf>
    <xf numFmtId="4" fontId="17" fillId="0" borderId="5" xfId="0" applyNumberFormat="1" applyFont="1" applyBorder="1" applyAlignment="1">
      <alignment horizontal="center" vertical="center" wrapText="1"/>
    </xf>
    <xf numFmtId="4" fontId="17" fillId="11" borderId="14" xfId="0" applyNumberFormat="1" applyFont="1" applyFill="1" applyBorder="1" applyAlignment="1">
      <alignment horizontal="center" vertical="center" wrapText="1"/>
    </xf>
    <xf numFmtId="4" fontId="17" fillId="10" borderId="1" xfId="0" applyNumberFormat="1" applyFont="1" applyFill="1" applyBorder="1" applyAlignment="1">
      <alignment horizontal="center" vertical="center" wrapText="1"/>
    </xf>
    <xf numFmtId="4" fontId="17" fillId="10" borderId="26" xfId="0" applyNumberFormat="1" applyFont="1" applyFill="1" applyBorder="1" applyAlignment="1">
      <alignment horizontal="center" vertical="center" wrapText="1"/>
    </xf>
    <xf numFmtId="4" fontId="17" fillId="8" borderId="9" xfId="0" applyNumberFormat="1" applyFont="1" applyFill="1" applyBorder="1" applyAlignment="1">
      <alignment horizontal="center" vertical="center" wrapText="1"/>
    </xf>
    <xf numFmtId="10" fontId="7" fillId="10" borderId="1" xfId="1" applyNumberFormat="1" applyFont="1" applyFill="1" applyBorder="1" applyAlignment="1">
      <alignment horizontal="center" vertical="center" wrapText="1"/>
    </xf>
    <xf numFmtId="10" fontId="7" fillId="10" borderId="1" xfId="1" applyNumberFormat="1" applyFont="1" applyFill="1" applyBorder="1" applyAlignment="1">
      <alignment horizontal="center" vertical="center"/>
    </xf>
    <xf numFmtId="1" fontId="10" fillId="36" borderId="1" xfId="0" applyNumberFormat="1" applyFont="1" applyFill="1" applyBorder="1" applyAlignment="1">
      <alignment horizontal="center" vertical="center"/>
    </xf>
    <xf numFmtId="4" fontId="17" fillId="35" borderId="1" xfId="0" applyNumberFormat="1" applyFont="1" applyFill="1" applyBorder="1" applyAlignment="1">
      <alignment horizontal="center" vertical="center" wrapText="1"/>
    </xf>
    <xf numFmtId="168" fontId="17" fillId="0" borderId="0" xfId="1" applyNumberFormat="1" applyFont="1" applyBorder="1" applyAlignment="1">
      <alignment horizontal="center" vertical="center" wrapText="1"/>
    </xf>
    <xf numFmtId="4" fontId="17" fillId="0" borderId="1" xfId="3" applyNumberFormat="1" applyFont="1" applyBorder="1" applyAlignment="1">
      <alignment horizontal="center" vertical="center" wrapText="1"/>
    </xf>
    <xf numFmtId="4" fontId="17" fillId="8" borderId="1" xfId="3" applyNumberFormat="1" applyFont="1" applyFill="1" applyBorder="1" applyAlignment="1">
      <alignment horizontal="center" vertical="center" wrapText="1"/>
    </xf>
    <xf numFmtId="17" fontId="7" fillId="30" borderId="1" xfId="0" applyNumberFormat="1" applyFont="1" applyFill="1" applyBorder="1" applyAlignment="1">
      <alignment horizontal="center" vertical="center" wrapText="1"/>
    </xf>
    <xf numFmtId="14" fontId="7" fillId="30" borderId="1" xfId="0" applyNumberFormat="1" applyFont="1" applyFill="1" applyBorder="1" applyAlignment="1">
      <alignment horizontal="center" vertical="center" wrapText="1"/>
    </xf>
    <xf numFmtId="4" fontId="17" fillId="0" borderId="1" xfId="5"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10" fontId="17" fillId="0" borderId="0" xfId="1" applyNumberFormat="1" applyFont="1" applyBorder="1" applyAlignment="1">
      <alignment horizontal="center" vertical="center" wrapText="1"/>
    </xf>
    <xf numFmtId="4" fontId="7" fillId="0" borderId="0" xfId="0" applyNumberFormat="1" applyFont="1" applyAlignment="1">
      <alignment horizontal="left"/>
    </xf>
    <xf numFmtId="1" fontId="7" fillId="0" borderId="0" xfId="0" applyNumberFormat="1" applyFont="1" applyAlignment="1">
      <alignment horizontal="center" vertical="center"/>
    </xf>
    <xf numFmtId="4" fontId="17" fillId="8" borderId="1" xfId="3" applyNumberFormat="1" applyFont="1" applyFill="1" applyBorder="1" applyAlignment="1">
      <alignment horizontal="center" vertical="center"/>
    </xf>
    <xf numFmtId="4" fontId="7" fillId="0" borderId="1" xfId="5" applyNumberFormat="1" applyFont="1" applyBorder="1" applyAlignment="1">
      <alignment horizontal="center" vertical="center" wrapText="1"/>
    </xf>
    <xf numFmtId="4" fontId="7" fillId="8" borderId="0" xfId="3" applyNumberFormat="1" applyFont="1" applyFill="1" applyBorder="1" applyAlignment="1">
      <alignment horizontal="center" vertical="center" wrapText="1"/>
    </xf>
    <xf numFmtId="4" fontId="4" fillId="0" borderId="1" xfId="0" applyNumberFormat="1" applyFont="1" applyBorder="1" applyAlignment="1">
      <alignment horizontal="center" vertical="center"/>
    </xf>
    <xf numFmtId="1" fontId="7" fillId="8" borderId="0" xfId="0" applyNumberFormat="1" applyFont="1" applyFill="1" applyAlignment="1">
      <alignment horizontal="center" vertical="center" wrapText="1"/>
    </xf>
    <xf numFmtId="4" fontId="20" fillId="0" borderId="54" xfId="0" applyNumberFormat="1" applyFont="1" applyBorder="1" applyAlignment="1">
      <alignment horizontal="left" vertical="center"/>
    </xf>
    <xf numFmtId="1" fontId="7" fillId="0" borderId="1" xfId="0" applyNumberFormat="1" applyFont="1" applyFill="1" applyBorder="1" applyAlignment="1">
      <alignment horizontal="center" vertical="center"/>
    </xf>
    <xf numFmtId="1" fontId="7" fillId="36" borderId="1" xfId="0" applyNumberFormat="1" applyFont="1" applyFill="1" applyBorder="1" applyAlignment="1">
      <alignment horizontal="center" vertical="center"/>
    </xf>
    <xf numFmtId="1" fontId="7" fillId="8" borderId="2" xfId="0" applyNumberFormat="1" applyFont="1" applyFill="1" applyBorder="1" applyAlignment="1">
      <alignment horizontal="center" vertical="center"/>
    </xf>
    <xf numFmtId="17" fontId="7" fillId="0" borderId="2" xfId="0" applyNumberFormat="1" applyFont="1" applyFill="1" applyBorder="1" applyAlignment="1">
      <alignment horizontal="center" vertical="center" wrapText="1"/>
    </xf>
    <xf numFmtId="4" fontId="17" fillId="11" borderId="2" xfId="0" applyNumberFormat="1" applyFont="1" applyFill="1" applyBorder="1" applyAlignment="1">
      <alignment horizontal="center" vertical="center" wrapText="1"/>
    </xf>
    <xf numFmtId="4" fontId="7" fillId="0" borderId="2" xfId="3" applyNumberFormat="1" applyFont="1" applyBorder="1" applyAlignment="1">
      <alignment horizontal="center" vertical="center" wrapText="1"/>
    </xf>
    <xf numFmtId="4" fontId="17" fillId="0" borderId="0" xfId="0" applyNumberFormat="1" applyFont="1" applyBorder="1" applyAlignment="1">
      <alignment vertical="center"/>
    </xf>
    <xf numFmtId="4" fontId="17" fillId="0" borderId="0" xfId="0" applyNumberFormat="1" applyFont="1" applyFill="1" applyBorder="1" applyAlignment="1">
      <alignment horizontal="center" vertical="center"/>
    </xf>
    <xf numFmtId="0" fontId="17" fillId="0" borderId="0" xfId="0" applyFont="1" applyAlignment="1">
      <alignment horizontal="center" vertical="center"/>
    </xf>
    <xf numFmtId="4" fontId="17" fillId="0" borderId="0" xfId="0" applyNumberFormat="1" applyFont="1" applyFill="1" applyBorder="1" applyAlignment="1">
      <alignment horizontal="center" vertical="center" wrapText="1"/>
    </xf>
    <xf numFmtId="4" fontId="7" fillId="0" borderId="0" xfId="0" applyNumberFormat="1" applyFont="1" applyFill="1" applyBorder="1" applyAlignment="1">
      <alignment horizontal="center" vertical="center" wrapText="1"/>
    </xf>
    <xf numFmtId="0" fontId="0" fillId="18" borderId="1" xfId="0" applyFont="1" applyFill="1" applyBorder="1" applyAlignment="1">
      <alignment horizontal="center"/>
    </xf>
    <xf numFmtId="0" fontId="0" fillId="0" borderId="1" xfId="0" applyFont="1" applyFill="1" applyBorder="1" applyAlignment="1">
      <alignment vertical="center"/>
    </xf>
    <xf numFmtId="4" fontId="0" fillId="0" borderId="1" xfId="0" applyNumberFormat="1" applyFont="1" applyBorder="1" applyAlignment="1">
      <alignment vertical="center"/>
    </xf>
    <xf numFmtId="4" fontId="55" fillId="0" borderId="2" xfId="0" applyNumberFormat="1" applyFont="1" applyFill="1" applyBorder="1" applyAlignment="1">
      <alignment horizontal="center"/>
    </xf>
    <xf numFmtId="0" fontId="0" fillId="0" borderId="0" xfId="0" applyFont="1" applyBorder="1" applyAlignment="1">
      <alignment horizontal="center"/>
    </xf>
    <xf numFmtId="0" fontId="8" fillId="0" borderId="0" xfId="0" applyFont="1" applyBorder="1" applyAlignment="1">
      <alignment horizontal="center"/>
    </xf>
    <xf numFmtId="0" fontId="37" fillId="0" borderId="0" xfId="0" applyFont="1" applyFill="1" applyBorder="1" applyAlignment="1">
      <alignment horizontal="left"/>
    </xf>
    <xf numFmtId="4" fontId="0" fillId="0" borderId="0" xfId="1" applyNumberFormat="1" applyFont="1"/>
    <xf numFmtId="4" fontId="3" fillId="0" borderId="0" xfId="0" applyNumberFormat="1" applyFont="1" applyAlignment="1">
      <alignment horizontal="center"/>
    </xf>
    <xf numFmtId="4" fontId="28" fillId="0" borderId="0" xfId="0" applyNumberFormat="1" applyFont="1" applyFill="1"/>
    <xf numFmtId="4" fontId="11" fillId="0" borderId="1" xfId="0" applyNumberFormat="1" applyFont="1" applyFill="1" applyBorder="1" applyAlignment="1">
      <alignment horizontal="center"/>
    </xf>
    <xf numFmtId="0" fontId="0" fillId="8" borderId="8" xfId="0" applyFont="1" applyFill="1" applyBorder="1" applyAlignment="1">
      <alignment horizontal="center"/>
    </xf>
    <xf numFmtId="4" fontId="0" fillId="0" borderId="1" xfId="0" quotePrefix="1" applyNumberFormat="1" applyFont="1" applyFill="1" applyBorder="1" applyAlignment="1">
      <alignment horizontal="right"/>
    </xf>
    <xf numFmtId="2" fontId="8" fillId="0" borderId="1" xfId="0" applyNumberFormat="1" applyFont="1" applyBorder="1" applyAlignment="1">
      <alignment horizontal="center" vertical="center" wrapText="1"/>
    </xf>
    <xf numFmtId="0" fontId="7" fillId="12" borderId="25" xfId="0" applyFont="1" applyFill="1" applyBorder="1" applyAlignment="1">
      <alignment horizontal="center" vertical="center" wrapText="1"/>
    </xf>
    <xf numFmtId="167" fontId="3" fillId="12" borderId="22" xfId="0" applyNumberFormat="1" applyFont="1" applyFill="1" applyBorder="1" applyAlignment="1">
      <alignment vertical="center"/>
    </xf>
    <xf numFmtId="4" fontId="11" fillId="0" borderId="1" xfId="0" applyNumberFormat="1" applyFont="1" applyBorder="1" applyAlignment="1"/>
    <xf numFmtId="4" fontId="11" fillId="0" borderId="8" xfId="0" applyNumberFormat="1" applyFont="1" applyBorder="1" applyAlignment="1"/>
    <xf numFmtId="10" fontId="11" fillId="0" borderId="8" xfId="0" applyNumberFormat="1" applyFont="1" applyBorder="1" applyAlignment="1"/>
    <xf numFmtId="10" fontId="11" fillId="0" borderId="1" xfId="0" applyNumberFormat="1" applyFont="1" applyBorder="1" applyAlignment="1"/>
    <xf numFmtId="4" fontId="16" fillId="0" borderId="33" xfId="0" applyNumberFormat="1" applyFont="1" applyBorder="1" applyAlignment="1">
      <alignment horizontal="right" vertical="center"/>
    </xf>
    <xf numFmtId="10" fontId="16" fillId="0" borderId="33" xfId="1" applyNumberFormat="1" applyFont="1" applyBorder="1" applyAlignment="1">
      <alignment horizontal="right" vertical="center"/>
    </xf>
    <xf numFmtId="4" fontId="8" fillId="0" borderId="41" xfId="0" applyNumberFormat="1" applyFont="1" applyBorder="1"/>
    <xf numFmtId="10" fontId="8" fillId="0" borderId="41" xfId="0" applyNumberFormat="1" applyFont="1" applyBorder="1"/>
    <xf numFmtId="4" fontId="4" fillId="0" borderId="33" xfId="0" applyNumberFormat="1" applyFont="1" applyFill="1" applyBorder="1" applyAlignment="1"/>
    <xf numFmtId="10" fontId="4" fillId="0" borderId="33" xfId="0" applyNumberFormat="1" applyFont="1" applyFill="1" applyBorder="1" applyAlignment="1"/>
    <xf numFmtId="0" fontId="7" fillId="0" borderId="23" xfId="0" applyFont="1" applyFill="1" applyBorder="1" applyAlignment="1">
      <alignment horizontal="center" vertical="center"/>
    </xf>
    <xf numFmtId="0" fontId="8" fillId="8" borderId="30" xfId="0" applyFont="1" applyFill="1" applyBorder="1"/>
    <xf numFmtId="4" fontId="55" fillId="0" borderId="1" xfId="0" applyNumberFormat="1" applyFont="1" applyFill="1" applyBorder="1" applyAlignment="1">
      <alignment horizontal="center"/>
    </xf>
    <xf numFmtId="4" fontId="31" fillId="0" borderId="1" xfId="0" applyNumberFormat="1" applyFont="1" applyFill="1" applyBorder="1" applyAlignment="1"/>
    <xf numFmtId="4" fontId="17" fillId="14" borderId="1" xfId="0" applyNumberFormat="1" applyFont="1" applyFill="1" applyBorder="1" applyAlignment="1">
      <alignment horizontal="center" vertical="center"/>
    </xf>
    <xf numFmtId="4" fontId="17" fillId="28" borderId="1" xfId="0" applyNumberFormat="1" applyFont="1" applyFill="1" applyBorder="1" applyAlignment="1">
      <alignment horizontal="center" vertical="center"/>
    </xf>
    <xf numFmtId="4" fontId="17" fillId="0" borderId="30" xfId="0" applyNumberFormat="1" applyFont="1" applyBorder="1" applyAlignment="1">
      <alignment horizontal="center" vertical="top"/>
    </xf>
    <xf numFmtId="0" fontId="4" fillId="0" borderId="0" xfId="0" applyFont="1" applyAlignment="1">
      <alignment horizontal="center" vertical="center"/>
    </xf>
    <xf numFmtId="4" fontId="20" fillId="0" borderId="54" xfId="0" applyNumberFormat="1" applyFont="1" applyBorder="1" applyAlignment="1">
      <alignment horizontal="center" vertical="center"/>
    </xf>
    <xf numFmtId="4" fontId="7" fillId="37" borderId="2" xfId="5" applyNumberFormat="1" applyFont="1" applyFill="1" applyBorder="1" applyAlignment="1">
      <alignment horizontal="center" vertical="center"/>
    </xf>
    <xf numFmtId="4" fontId="7" fillId="37" borderId="2" xfId="5" applyNumberFormat="1" applyFont="1" applyFill="1" applyBorder="1" applyAlignment="1">
      <alignment horizontal="center" vertical="center" wrapText="1"/>
    </xf>
    <xf numFmtId="4" fontId="7" fillId="0" borderId="41" xfId="0" applyNumberFormat="1" applyFont="1" applyBorder="1" applyAlignment="1">
      <alignment horizontal="center" vertical="center"/>
    </xf>
    <xf numFmtId="4" fontId="7" fillId="8" borderId="41" xfId="5" applyNumberFormat="1" applyFont="1" applyFill="1" applyBorder="1" applyAlignment="1">
      <alignment horizontal="center" vertical="center" wrapText="1"/>
    </xf>
    <xf numFmtId="10" fontId="8" fillId="12" borderId="21" xfId="0" applyNumberFormat="1" applyFont="1" applyFill="1" applyBorder="1" applyAlignment="1">
      <alignment vertical="center"/>
    </xf>
    <xf numFmtId="9" fontId="7" fillId="0" borderId="0" xfId="0" applyNumberFormat="1" applyFont="1" applyAlignment="1">
      <alignment horizontal="center" vertical="center"/>
    </xf>
    <xf numFmtId="0" fontId="23" fillId="0" borderId="0" xfId="0" applyFont="1" applyAlignment="1">
      <alignment horizontal="right" vertical="center"/>
    </xf>
    <xf numFmtId="0" fontId="6" fillId="0" borderId="0" xfId="0" applyFont="1" applyFill="1" applyAlignment="1">
      <alignment horizontal="center"/>
    </xf>
    <xf numFmtId="9" fontId="7" fillId="0" borderId="0" xfId="0" applyNumberFormat="1" applyFont="1" applyFill="1" applyAlignment="1">
      <alignment horizontal="center" vertical="center"/>
    </xf>
    <xf numFmtId="0" fontId="8" fillId="0" borderId="3" xfId="0" applyFont="1" applyBorder="1" applyAlignment="1">
      <alignment horizontal="center" vertical="center" wrapText="1"/>
    </xf>
    <xf numFmtId="0" fontId="8" fillId="5" borderId="5" xfId="0" applyFont="1" applyFill="1" applyBorder="1" applyAlignment="1">
      <alignment horizontal="center" vertical="center"/>
    </xf>
    <xf numFmtId="4" fontId="8" fillId="0" borderId="0" xfId="0" applyNumberFormat="1" applyFont="1" applyFill="1" applyAlignment="1">
      <alignment vertical="center"/>
    </xf>
    <xf numFmtId="167" fontId="6" fillId="5" borderId="1" xfId="0" applyNumberFormat="1" applyFont="1" applyFill="1" applyBorder="1" applyAlignment="1">
      <alignment horizontal="right" vertical="center"/>
    </xf>
    <xf numFmtId="10" fontId="6" fillId="5" borderId="1" xfId="1" applyNumberFormat="1" applyFont="1" applyFill="1" applyBorder="1" applyAlignment="1">
      <alignment horizontal="right" vertical="center"/>
    </xf>
    <xf numFmtId="167" fontId="4" fillId="6" borderId="5" xfId="0" applyNumberFormat="1" applyFont="1" applyFill="1" applyBorder="1" applyAlignment="1">
      <alignment horizontal="right" vertical="center"/>
    </xf>
    <xf numFmtId="10" fontId="4" fillId="6" borderId="5" xfId="1" applyNumberFormat="1" applyFont="1" applyFill="1" applyBorder="1" applyAlignment="1">
      <alignment horizontal="right" vertical="center"/>
    </xf>
    <xf numFmtId="169" fontId="10" fillId="0" borderId="0" xfId="0" applyNumberFormat="1" applyFont="1" applyFill="1" applyBorder="1" applyAlignment="1">
      <alignment horizontal="center" vertical="center"/>
    </xf>
    <xf numFmtId="167" fontId="7" fillId="0" borderId="0" xfId="0" applyNumberFormat="1" applyFont="1" applyAlignment="1">
      <alignment horizontal="center" vertical="center"/>
    </xf>
    <xf numFmtId="4" fontId="4" fillId="0" borderId="0" xfId="0" applyNumberFormat="1" applyFont="1"/>
    <xf numFmtId="10" fontId="8" fillId="12" borderId="1" xfId="0" applyNumberFormat="1" applyFont="1" applyFill="1" applyBorder="1" applyAlignment="1">
      <alignment horizontal="right"/>
    </xf>
    <xf numFmtId="10" fontId="8" fillId="8" borderId="1" xfId="0" applyNumberFormat="1" applyFont="1" applyFill="1" applyBorder="1" applyAlignment="1">
      <alignment horizontal="right"/>
    </xf>
    <xf numFmtId="10" fontId="6" fillId="0" borderId="25" xfId="0" applyNumberFormat="1" applyFont="1" applyBorder="1"/>
    <xf numFmtId="10" fontId="8" fillId="14" borderId="1" xfId="0" applyNumberFormat="1" applyFont="1" applyFill="1" applyBorder="1" applyAlignment="1">
      <alignment horizontal="right"/>
    </xf>
    <xf numFmtId="10" fontId="8" fillId="8" borderId="41" xfId="0" applyNumberFormat="1" applyFont="1" applyFill="1" applyBorder="1" applyAlignment="1">
      <alignment horizontal="right"/>
    </xf>
    <xf numFmtId="10" fontId="8" fillId="0" borderId="19" xfId="0" applyNumberFormat="1" applyFont="1" applyFill="1" applyBorder="1" applyAlignment="1">
      <alignment horizontal="right" vertical="center"/>
    </xf>
    <xf numFmtId="165" fontId="11" fillId="0" borderId="1" xfId="0" applyNumberFormat="1" applyFont="1" applyFill="1" applyBorder="1" applyAlignment="1">
      <alignment horizontal="right" vertical="center" wrapText="1" indent="1"/>
    </xf>
    <xf numFmtId="10" fontId="11" fillId="0" borderId="1" xfId="0" applyNumberFormat="1" applyFont="1" applyFill="1" applyBorder="1" applyAlignment="1">
      <alignment horizontal="right" vertical="center" wrapText="1" indent="1"/>
    </xf>
    <xf numFmtId="0" fontId="8" fillId="18" borderId="8" xfId="0" applyFont="1" applyFill="1" applyBorder="1" applyAlignment="1">
      <alignment horizontal="left"/>
    </xf>
    <xf numFmtId="0" fontId="0" fillId="0" borderId="1" xfId="0" applyFont="1" applyFill="1" applyBorder="1" applyAlignment="1">
      <alignment horizontal="center"/>
    </xf>
    <xf numFmtId="4" fontId="33" fillId="0" borderId="1" xfId="0" applyNumberFormat="1" applyFont="1" applyFill="1" applyBorder="1" applyAlignment="1">
      <alignment vertical="center"/>
    </xf>
    <xf numFmtId="4" fontId="0" fillId="0" borderId="26" xfId="0" applyNumberFormat="1" applyFont="1" applyFill="1" applyBorder="1" applyAlignment="1">
      <alignment horizontal="right"/>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10" fontId="11" fillId="0" borderId="25" xfId="0" applyNumberFormat="1" applyFont="1" applyBorder="1"/>
    <xf numFmtId="0" fontId="8" fillId="0" borderId="0" xfId="0" applyFont="1" applyAlignment="1">
      <alignment wrapText="1"/>
    </xf>
    <xf numFmtId="0" fontId="8" fillId="0" borderId="30" xfId="0" applyFont="1" applyFill="1" applyBorder="1"/>
    <xf numFmtId="4" fontId="32" fillId="0" borderId="0" xfId="0" applyNumberFormat="1" applyFont="1" applyFill="1" applyBorder="1" applyAlignment="1">
      <alignment vertical="center"/>
    </xf>
    <xf numFmtId="0" fontId="8" fillId="0" borderId="1" xfId="0" applyFont="1" applyBorder="1" applyAlignment="1">
      <alignment horizontal="center" vertical="center" wrapText="1"/>
    </xf>
    <xf numFmtId="4" fontId="8" fillId="0" borderId="0" xfId="0" applyNumberFormat="1" applyFont="1" applyAlignment="1">
      <alignment horizontal="center" vertical="center" wrapText="1"/>
    </xf>
    <xf numFmtId="4" fontId="7" fillId="0" borderId="0" xfId="0" applyNumberFormat="1" applyFont="1" applyAlignment="1">
      <alignment horizontal="center" vertical="center" wrapText="1"/>
    </xf>
    <xf numFmtId="4" fontId="7" fillId="8" borderId="1" xfId="0" applyNumberFormat="1" applyFont="1" applyFill="1" applyBorder="1" applyAlignment="1">
      <alignment horizontal="center" vertical="center" wrapText="1"/>
    </xf>
    <xf numFmtId="4" fontId="7" fillId="0" borderId="1" xfId="0" applyNumberFormat="1" applyFont="1" applyBorder="1" applyAlignment="1">
      <alignment horizontal="center" vertical="center"/>
    </xf>
    <xf numFmtId="4" fontId="7" fillId="0" borderId="1" xfId="0" applyNumberFormat="1" applyFont="1" applyBorder="1" applyAlignment="1">
      <alignment horizontal="center" vertical="center" wrapText="1"/>
    </xf>
    <xf numFmtId="4" fontId="11" fillId="0" borderId="2" xfId="0" applyNumberFormat="1" applyFont="1" applyBorder="1"/>
    <xf numFmtId="4" fontId="16" fillId="0" borderId="5" xfId="0" applyNumberFormat="1" applyFont="1" applyBorder="1"/>
    <xf numFmtId="4" fontId="24" fillId="0" borderId="33" xfId="0" applyNumberFormat="1" applyFont="1" applyFill="1" applyBorder="1" applyAlignment="1"/>
    <xf numFmtId="10" fontId="24" fillId="0" borderId="33" xfId="0" applyNumberFormat="1" applyFont="1" applyFill="1" applyBorder="1" applyAlignment="1"/>
    <xf numFmtId="4" fontId="11" fillId="12" borderId="1" xfId="0" applyNumberFormat="1" applyFont="1" applyFill="1" applyBorder="1"/>
    <xf numFmtId="10" fontId="11" fillId="12" borderId="20" xfId="0" applyNumberFormat="1" applyFont="1" applyFill="1" applyBorder="1"/>
    <xf numFmtId="10" fontId="11" fillId="12" borderId="21" xfId="0" applyNumberFormat="1" applyFont="1" applyFill="1" applyBorder="1"/>
    <xf numFmtId="10" fontId="11" fillId="12" borderId="21" xfId="0" applyNumberFormat="1" applyFont="1" applyFill="1" applyBorder="1" applyAlignment="1">
      <alignment horizontal="center" vertical="center"/>
    </xf>
    <xf numFmtId="0" fontId="8" fillId="0" borderId="1" xfId="0" applyFont="1" applyBorder="1" applyAlignment="1">
      <alignment horizontal="left" vertical="center" wrapText="1"/>
    </xf>
    <xf numFmtId="168"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 fontId="11" fillId="18" borderId="1" xfId="0" applyNumberFormat="1" applyFont="1" applyFill="1" applyBorder="1"/>
    <xf numFmtId="10" fontId="11" fillId="18" borderId="1" xfId="1" applyNumberFormat="1" applyFont="1" applyFill="1" applyBorder="1"/>
    <xf numFmtId="0" fontId="8" fillId="8" borderId="1" xfId="0" applyFont="1" applyFill="1" applyBorder="1" applyAlignment="1">
      <alignment horizontal="center" vertical="center" wrapText="1"/>
    </xf>
    <xf numFmtId="4" fontId="0" fillId="0" borderId="0" xfId="0" applyNumberFormat="1" applyAlignment="1">
      <alignment wrapText="1"/>
    </xf>
    <xf numFmtId="44" fontId="0" fillId="0" borderId="0" xfId="0" applyNumberFormat="1"/>
    <xf numFmtId="0" fontId="0" fillId="0" borderId="0" xfId="0" applyAlignment="1">
      <alignment wrapText="1"/>
    </xf>
    <xf numFmtId="0" fontId="31"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8" xfId="0" applyFont="1" applyFill="1" applyBorder="1" applyAlignment="1">
      <alignment horizontal="center" vertical="center" wrapText="1"/>
    </xf>
    <xf numFmtId="165" fontId="8" fillId="0" borderId="1" xfId="0" applyNumberFormat="1" applyFont="1" applyFill="1" applyBorder="1" applyAlignment="1">
      <alignment horizontal="right" vertical="center" wrapText="1" indent="1"/>
    </xf>
    <xf numFmtId="0" fontId="8" fillId="0" borderId="1" xfId="0" applyFont="1" applyBorder="1" applyAlignment="1">
      <alignment horizontal="center" vertical="center" wrapText="1"/>
    </xf>
    <xf numFmtId="10" fontId="8" fillId="0" borderId="1" xfId="0" applyNumberFormat="1" applyFont="1" applyFill="1" applyBorder="1" applyAlignment="1">
      <alignment horizontal="right" vertical="center" wrapText="1" indent="1"/>
    </xf>
    <xf numFmtId="4" fontId="7" fillId="0" borderId="1" xfId="0" applyNumberFormat="1" applyFont="1" applyFill="1" applyBorder="1" applyAlignment="1">
      <alignment horizontal="center" vertical="center" wrapText="1"/>
    </xf>
    <xf numFmtId="4" fontId="17" fillId="0" borderId="26" xfId="0" applyNumberFormat="1" applyFont="1" applyBorder="1" applyAlignment="1">
      <alignment horizontal="center" vertical="center" wrapText="1"/>
    </xf>
    <xf numFmtId="4" fontId="17" fillId="0" borderId="30" xfId="0" applyNumberFormat="1" applyFont="1" applyBorder="1" applyAlignment="1">
      <alignment horizontal="center" vertical="center" wrapText="1"/>
    </xf>
    <xf numFmtId="4" fontId="17" fillId="0" borderId="1" xfId="0" applyNumberFormat="1" applyFont="1" applyBorder="1" applyAlignment="1">
      <alignment horizontal="center" vertical="center" wrapText="1"/>
    </xf>
    <xf numFmtId="4" fontId="4" fillId="0" borderId="0" xfId="0" applyNumberFormat="1" applyFont="1" applyAlignment="1">
      <alignment horizontal="center" vertical="center" wrapText="1"/>
    </xf>
    <xf numFmtId="4" fontId="6" fillId="0" borderId="0" xfId="0" applyNumberFormat="1" applyFont="1" applyAlignment="1">
      <alignment horizontal="center" vertical="center" wrapText="1"/>
    </xf>
    <xf numFmtId="4" fontId="8" fillId="0" borderId="0" xfId="0" applyNumberFormat="1" applyFont="1" applyAlignment="1">
      <alignment horizontal="center" vertical="center" wrapText="1"/>
    </xf>
    <xf numFmtId="4" fontId="17" fillId="0" borderId="1" xfId="0" applyNumberFormat="1" applyFont="1" applyBorder="1" applyAlignment="1">
      <alignment horizontal="center" vertical="center"/>
    </xf>
    <xf numFmtId="4" fontId="7" fillId="0" borderId="0" xfId="0" applyNumberFormat="1" applyFont="1" applyAlignment="1">
      <alignment horizontal="center" vertical="center" wrapText="1"/>
    </xf>
    <xf numFmtId="4" fontId="7" fillId="0" borderId="1" xfId="0" applyNumberFormat="1" applyFont="1" applyBorder="1" applyAlignment="1">
      <alignment horizontal="center" vertical="center" wrapText="1"/>
    </xf>
    <xf numFmtId="4" fontId="4" fillId="0" borderId="0" xfId="0" applyNumberFormat="1" applyFont="1" applyFill="1" applyBorder="1" applyAlignment="1">
      <alignment horizontal="center" vertical="center"/>
    </xf>
    <xf numFmtId="4" fontId="4" fillId="0" borderId="1" xfId="0" applyNumberFormat="1" applyFont="1" applyFill="1" applyBorder="1" applyAlignment="1">
      <alignment horizontal="center" vertical="center"/>
    </xf>
    <xf numFmtId="4" fontId="7" fillId="8" borderId="1" xfId="0" applyNumberFormat="1" applyFont="1" applyFill="1" applyBorder="1" applyAlignment="1">
      <alignment horizontal="center" vertical="center" wrapText="1"/>
    </xf>
    <xf numFmtId="4" fontId="17" fillId="8" borderId="1" xfId="0" applyNumberFormat="1" applyFont="1" applyFill="1" applyBorder="1" applyAlignment="1">
      <alignment horizontal="center" vertical="center" wrapText="1"/>
    </xf>
    <xf numFmtId="4" fontId="7" fillId="0" borderId="1" xfId="0" applyNumberFormat="1" applyFont="1" applyBorder="1" applyAlignment="1">
      <alignment horizontal="center" vertical="center"/>
    </xf>
    <xf numFmtId="4" fontId="4" fillId="4" borderId="0" xfId="0" applyNumberFormat="1" applyFont="1" applyFill="1" applyAlignment="1">
      <alignment horizontal="center" vertical="center" wrapText="1"/>
    </xf>
    <xf numFmtId="4" fontId="4" fillId="0" borderId="0" xfId="0" applyNumberFormat="1" applyFont="1" applyAlignment="1">
      <alignment horizontal="center" vertical="center"/>
    </xf>
    <xf numFmtId="4" fontId="6" fillId="0" borderId="0" xfId="0" applyNumberFormat="1" applyFont="1" applyAlignment="1">
      <alignment horizontal="center" vertical="center"/>
    </xf>
    <xf numFmtId="10" fontId="8" fillId="0" borderId="2" xfId="0" applyNumberFormat="1" applyFont="1" applyFill="1" applyBorder="1" applyAlignment="1">
      <alignment horizontal="right" vertical="center" wrapText="1" indent="1"/>
    </xf>
    <xf numFmtId="10" fontId="6" fillId="5" borderId="1" xfId="0" applyNumberFormat="1" applyFont="1" applyFill="1" applyBorder="1" applyAlignment="1">
      <alignment horizontal="right" vertical="center"/>
    </xf>
    <xf numFmtId="10" fontId="4" fillId="6" borderId="6" xfId="0" applyNumberFormat="1" applyFont="1" applyFill="1" applyBorder="1" applyAlignment="1">
      <alignment horizontal="right" vertical="center"/>
    </xf>
    <xf numFmtId="4" fontId="51" fillId="8" borderId="1" xfId="3" applyNumberFormat="1" applyFont="1" applyFill="1" applyBorder="1" applyAlignment="1">
      <alignment horizontal="center" vertical="center" wrapText="1"/>
    </xf>
    <xf numFmtId="17" fontId="9" fillId="30" borderId="1" xfId="0" applyNumberFormat="1" applyFont="1" applyFill="1" applyBorder="1" applyAlignment="1">
      <alignment horizontal="center" vertical="center" wrapText="1"/>
    </xf>
    <xf numFmtId="165" fontId="8" fillId="0" borderId="1" xfId="0" applyNumberFormat="1" applyFont="1" applyFill="1" applyBorder="1" applyAlignment="1">
      <alignment horizontal="right" vertical="center" wrapText="1" indent="1"/>
    </xf>
    <xf numFmtId="0" fontId="8" fillId="0" borderId="1" xfId="0" applyFont="1" applyBorder="1" applyAlignment="1">
      <alignment horizontal="center" vertical="center" wrapText="1"/>
    </xf>
    <xf numFmtId="0" fontId="20" fillId="20" borderId="10" xfId="0" applyFont="1" applyFill="1" applyBorder="1" applyAlignment="1">
      <alignment horizontal="center" vertical="center"/>
    </xf>
    <xf numFmtId="0" fontId="20" fillId="20" borderId="53" xfId="0" applyFont="1" applyFill="1" applyBorder="1" applyAlignment="1">
      <alignment horizontal="center" vertical="center"/>
    </xf>
    <xf numFmtId="0" fontId="20" fillId="20" borderId="20" xfId="0" applyFont="1" applyFill="1" applyBorder="1" applyAlignment="1">
      <alignment horizontal="center" vertical="center"/>
    </xf>
    <xf numFmtId="0" fontId="20" fillId="20" borderId="54" xfId="0" applyFont="1" applyFill="1" applyBorder="1" applyAlignment="1">
      <alignment horizontal="center" vertical="center"/>
    </xf>
    <xf numFmtId="0" fontId="20" fillId="20" borderId="55" xfId="0" applyFont="1" applyFill="1" applyBorder="1" applyAlignment="1">
      <alignment horizontal="center" vertical="center"/>
    </xf>
    <xf numFmtId="0" fontId="8" fillId="0" borderId="26" xfId="0" applyFont="1" applyBorder="1" applyAlignment="1">
      <alignment horizontal="left"/>
    </xf>
    <xf numFmtId="0" fontId="8" fillId="0" borderId="30" xfId="0" applyFont="1" applyBorder="1" applyAlignment="1">
      <alignment horizontal="left"/>
    </xf>
    <xf numFmtId="0" fontId="20" fillId="21" borderId="10" xfId="0" applyFont="1" applyFill="1" applyBorder="1" applyAlignment="1">
      <alignment horizontal="center" vertical="center"/>
    </xf>
    <xf numFmtId="0" fontId="20" fillId="21" borderId="53" xfId="0" applyFont="1" applyFill="1" applyBorder="1" applyAlignment="1">
      <alignment horizontal="center" vertical="center"/>
    </xf>
    <xf numFmtId="0" fontId="20" fillId="21" borderId="20" xfId="0" applyFont="1" applyFill="1" applyBorder="1" applyAlignment="1">
      <alignment horizontal="center" vertical="center"/>
    </xf>
    <xf numFmtId="0" fontId="20" fillId="21" borderId="54" xfId="0" applyFont="1" applyFill="1" applyBorder="1" applyAlignment="1">
      <alignment horizontal="center" vertical="center"/>
    </xf>
    <xf numFmtId="0" fontId="20" fillId="21" borderId="55" xfId="0" applyFont="1" applyFill="1" applyBorder="1" applyAlignment="1">
      <alignment horizontal="center" vertical="center"/>
    </xf>
    <xf numFmtId="0" fontId="6" fillId="19" borderId="2" xfId="0" applyFont="1" applyFill="1" applyBorder="1" applyAlignment="1">
      <alignment horizontal="center" vertical="center" wrapText="1"/>
    </xf>
    <xf numFmtId="0" fontId="6" fillId="19" borderId="8" xfId="0" applyFont="1" applyFill="1" applyBorder="1" applyAlignment="1">
      <alignment horizontal="center" vertical="center" wrapText="1"/>
    </xf>
    <xf numFmtId="0" fontId="8" fillId="0" borderId="30" xfId="0" applyFont="1" applyFill="1" applyBorder="1" applyAlignment="1">
      <alignment horizontal="left"/>
    </xf>
    <xf numFmtId="0" fontId="29" fillId="0" borderId="0" xfId="0" applyFont="1" applyBorder="1" applyAlignment="1">
      <alignment horizontal="left" vertical="top" wrapText="1"/>
    </xf>
    <xf numFmtId="0" fontId="6" fillId="21" borderId="26" xfId="0" applyFont="1" applyFill="1" applyBorder="1" applyAlignment="1">
      <alignment horizontal="center"/>
    </xf>
    <xf numFmtId="10" fontId="11" fillId="0" borderId="8" xfId="0" applyNumberFormat="1" applyFont="1" applyFill="1" applyBorder="1" applyAlignment="1">
      <alignment horizontal="right" vertical="center" wrapText="1" indent="1"/>
    </xf>
    <xf numFmtId="0" fontId="31" fillId="0" borderId="1" xfId="0" applyFont="1" applyBorder="1" applyAlignment="1">
      <alignment vertical="center" wrapText="1"/>
    </xf>
    <xf numFmtId="10" fontId="11" fillId="0" borderId="2" xfId="0" applyNumberFormat="1" applyFont="1" applyBorder="1"/>
    <xf numFmtId="4" fontId="6" fillId="0" borderId="1" xfId="0" applyNumberFormat="1" applyFont="1" applyBorder="1"/>
    <xf numFmtId="10" fontId="6" fillId="0" borderId="32" xfId="0" applyNumberFormat="1" applyFont="1" applyBorder="1"/>
    <xf numFmtId="10" fontId="6" fillId="0" borderId="50" xfId="0" applyNumberFormat="1" applyFont="1" applyBorder="1"/>
    <xf numFmtId="0" fontId="20" fillId="20" borderId="52" xfId="0" applyFont="1" applyFill="1" applyBorder="1" applyAlignment="1">
      <alignment horizontal="left" vertical="center"/>
    </xf>
    <xf numFmtId="0" fontId="20" fillId="21" borderId="52" xfId="0" applyFont="1" applyFill="1" applyBorder="1" applyAlignment="1">
      <alignment horizontal="left" vertical="center"/>
    </xf>
    <xf numFmtId="4" fontId="8" fillId="0" borderId="1" xfId="0" quotePrefix="1" applyNumberFormat="1" applyFont="1" applyFill="1" applyBorder="1" applyAlignment="1">
      <alignment horizontal="right"/>
    </xf>
    <xf numFmtId="4" fontId="27" fillId="8" borderId="1" xfId="0" applyNumberFormat="1" applyFont="1" applyFill="1" applyBorder="1" applyAlignment="1">
      <alignment horizontal="center"/>
    </xf>
    <xf numFmtId="4" fontId="16" fillId="21" borderId="1" xfId="0" applyNumberFormat="1" applyFont="1" applyFill="1" applyBorder="1"/>
    <xf numFmtId="10" fontId="16" fillId="21" borderId="1" xfId="1" applyNumberFormat="1" applyFont="1" applyFill="1" applyBorder="1"/>
    <xf numFmtId="0" fontId="16" fillId="21" borderId="3" xfId="0" applyFont="1" applyFill="1" applyBorder="1" applyAlignment="1">
      <alignment horizontal="center"/>
    </xf>
    <xf numFmtId="0" fontId="16" fillId="21" borderId="1" xfId="0" applyFont="1" applyFill="1" applyBorder="1"/>
    <xf numFmtId="0" fontId="11" fillId="0" borderId="2" xfId="0" applyFont="1" applyFill="1" applyBorder="1" applyAlignment="1">
      <alignment horizontal="center"/>
    </xf>
    <xf numFmtId="4" fontId="38" fillId="0" borderId="1" xfId="0" applyNumberFormat="1" applyFont="1" applyBorder="1" applyAlignment="1" applyProtection="1">
      <alignment horizontal="center" vertical="center"/>
    </xf>
    <xf numFmtId="4" fontId="40" fillId="8" borderId="8" xfId="0" applyNumberFormat="1" applyFont="1" applyFill="1" applyBorder="1" applyAlignment="1" applyProtection="1">
      <alignment horizontal="center" vertical="center" wrapText="1"/>
      <protection locked="0"/>
    </xf>
    <xf numFmtId="4" fontId="40" fillId="33" borderId="2" xfId="0" applyNumberFormat="1" applyFont="1" applyFill="1" applyBorder="1" applyAlignment="1" applyProtection="1">
      <alignment horizontal="center" vertical="center" wrapText="1"/>
      <protection locked="0"/>
    </xf>
    <xf numFmtId="165" fontId="11" fillId="0" borderId="8" xfId="0" applyNumberFormat="1" applyFont="1" applyFill="1" applyBorder="1" applyAlignment="1">
      <alignment horizontal="right" vertical="center" wrapText="1" indent="1"/>
    </xf>
    <xf numFmtId="165" fontId="22" fillId="16" borderId="13" xfId="0" applyNumberFormat="1" applyFont="1" applyFill="1" applyBorder="1" applyAlignment="1">
      <alignment horizontal="right" vertical="center"/>
    </xf>
    <xf numFmtId="10" fontId="22" fillId="16" borderId="13" xfId="0" applyNumberFormat="1" applyFont="1" applyFill="1" applyBorder="1" applyAlignment="1">
      <alignment horizontal="right" vertical="center"/>
    </xf>
    <xf numFmtId="4" fontId="20" fillId="0" borderId="5" xfId="0" applyNumberFormat="1" applyFont="1" applyBorder="1"/>
    <xf numFmtId="10" fontId="20" fillId="0" borderId="6" xfId="0" applyNumberFormat="1" applyFont="1" applyBorder="1"/>
    <xf numFmtId="10" fontId="11" fillId="0" borderId="19" xfId="0" applyNumberFormat="1" applyFont="1" applyBorder="1"/>
    <xf numFmtId="10" fontId="16" fillId="0" borderId="5" xfId="0" applyNumberFormat="1" applyFont="1" applyBorder="1"/>
    <xf numFmtId="10" fontId="16" fillId="0" borderId="6" xfId="0" applyNumberFormat="1" applyFont="1" applyBorder="1"/>
    <xf numFmtId="0" fontId="20" fillId="20" borderId="10" xfId="0" applyFont="1" applyFill="1" applyBorder="1" applyAlignment="1">
      <alignment horizontal="center" vertical="center"/>
    </xf>
    <xf numFmtId="0" fontId="20" fillId="20" borderId="53" xfId="0" applyFont="1" applyFill="1" applyBorder="1" applyAlignment="1">
      <alignment horizontal="center" vertical="center"/>
    </xf>
    <xf numFmtId="0" fontId="20" fillId="20" borderId="3" xfId="0" applyFont="1" applyFill="1" applyBorder="1" applyAlignment="1">
      <alignment horizontal="center" vertical="center"/>
    </xf>
    <xf numFmtId="0" fontId="16" fillId="5" borderId="26" xfId="0" applyFont="1" applyFill="1" applyBorder="1" applyAlignment="1">
      <alignment horizontal="left" vertical="center"/>
    </xf>
    <xf numFmtId="0" fontId="16" fillId="5" borderId="30" xfId="0" applyFont="1" applyFill="1" applyBorder="1" applyAlignment="1">
      <alignment horizontal="left" vertical="center"/>
    </xf>
    <xf numFmtId="0" fontId="5" fillId="0" borderId="10" xfId="0" applyFont="1" applyBorder="1" applyAlignment="1">
      <alignment horizontal="left"/>
    </xf>
    <xf numFmtId="0" fontId="24" fillId="22" borderId="52" xfId="0" applyFont="1" applyFill="1" applyBorder="1" applyAlignment="1">
      <alignment horizontal="left" vertical="center"/>
    </xf>
    <xf numFmtId="0" fontId="24" fillId="22" borderId="10" xfId="0" applyFont="1" applyFill="1" applyBorder="1" applyAlignment="1">
      <alignment horizontal="left" vertical="center"/>
    </xf>
    <xf numFmtId="0" fontId="24" fillId="22" borderId="53" xfId="0" applyFont="1" applyFill="1" applyBorder="1" applyAlignment="1">
      <alignment horizontal="left" vertical="center"/>
    </xf>
    <xf numFmtId="0" fontId="24" fillId="22" borderId="20" xfId="0" applyFont="1" applyFill="1" applyBorder="1" applyAlignment="1">
      <alignment horizontal="left" vertical="center"/>
    </xf>
    <xf numFmtId="0" fontId="24" fillId="22" borderId="54" xfId="0" applyFont="1" applyFill="1" applyBorder="1" applyAlignment="1">
      <alignment horizontal="left" vertical="center"/>
    </xf>
    <xf numFmtId="0" fontId="24" fillId="22" borderId="55" xfId="0" applyFont="1" applyFill="1" applyBorder="1" applyAlignment="1">
      <alignment horizontal="left" vertical="center"/>
    </xf>
    <xf numFmtId="0" fontId="34" fillId="23" borderId="52" xfId="0" applyFont="1" applyFill="1" applyBorder="1" applyAlignment="1">
      <alignment horizontal="center" vertical="center" wrapText="1"/>
    </xf>
    <xf numFmtId="0" fontId="34" fillId="23" borderId="10" xfId="0" applyFont="1" applyFill="1" applyBorder="1" applyAlignment="1">
      <alignment horizontal="center" vertical="center" wrapText="1"/>
    </xf>
    <xf numFmtId="0" fontId="34" fillId="23" borderId="53" xfId="0" applyFont="1" applyFill="1" applyBorder="1" applyAlignment="1">
      <alignment horizontal="center" vertical="center" wrapText="1"/>
    </xf>
    <xf numFmtId="0" fontId="34" fillId="23" borderId="20" xfId="0" applyFont="1" applyFill="1" applyBorder="1" applyAlignment="1">
      <alignment horizontal="center" vertical="center" wrapText="1"/>
    </xf>
    <xf numFmtId="0" fontId="34" fillId="23" borderId="54" xfId="0" applyFont="1" applyFill="1" applyBorder="1" applyAlignment="1">
      <alignment horizontal="center" vertical="center" wrapText="1"/>
    </xf>
    <xf numFmtId="0" fontId="34" fillId="23" borderId="55" xfId="0" applyFont="1" applyFill="1" applyBorder="1" applyAlignment="1">
      <alignment horizontal="center" vertical="center" wrapText="1"/>
    </xf>
    <xf numFmtId="0" fontId="8" fillId="8" borderId="8" xfId="0" applyFont="1" applyFill="1" applyBorder="1" applyAlignment="1">
      <alignment horizontal="center"/>
    </xf>
    <xf numFmtId="10" fontId="8" fillId="8" borderId="1" xfId="1" applyNumberFormat="1" applyFont="1" applyFill="1" applyBorder="1"/>
    <xf numFmtId="0" fontId="0" fillId="8" borderId="1" xfId="0" applyFont="1" applyFill="1" applyBorder="1"/>
    <xf numFmtId="10" fontId="11" fillId="11" borderId="1" xfId="1" applyNumberFormat="1" applyFont="1" applyFill="1" applyBorder="1"/>
    <xf numFmtId="4" fontId="54" fillId="18" borderId="1" xfId="0" applyNumberFormat="1" applyFont="1" applyFill="1" applyBorder="1" applyAlignment="1">
      <alignment horizontal="center"/>
    </xf>
    <xf numFmtId="0" fontId="11" fillId="0" borderId="2" xfId="0" applyFont="1" applyFill="1" applyBorder="1" applyAlignment="1">
      <alignment vertical="center"/>
    </xf>
    <xf numFmtId="4" fontId="36" fillId="0" borderId="1" xfId="0" applyNumberFormat="1" applyFont="1" applyFill="1" applyBorder="1"/>
    <xf numFmtId="4" fontId="11" fillId="11" borderId="1" xfId="0" applyNumberFormat="1" applyFont="1" applyFill="1" applyBorder="1"/>
    <xf numFmtId="4" fontId="54" fillId="11" borderId="1" xfId="0" applyNumberFormat="1" applyFont="1" applyFill="1" applyBorder="1" applyAlignment="1">
      <alignment horizontal="center"/>
    </xf>
    <xf numFmtId="3" fontId="11" fillId="18" borderId="26" xfId="0" applyNumberFormat="1" applyFont="1" applyFill="1" applyBorder="1" applyAlignment="1">
      <alignment horizontal="center"/>
    </xf>
    <xf numFmtId="4" fontId="11" fillId="18" borderId="26" xfId="0" applyNumberFormat="1" applyFont="1" applyFill="1" applyBorder="1" applyAlignment="1">
      <alignment horizontal="right"/>
    </xf>
    <xf numFmtId="0" fontId="11" fillId="11" borderId="1" xfId="0" applyFont="1" applyFill="1" applyBorder="1"/>
    <xf numFmtId="4" fontId="11" fillId="11" borderId="26" xfId="0" applyNumberFormat="1" applyFont="1" applyFill="1" applyBorder="1"/>
    <xf numFmtId="0" fontId="11" fillId="11" borderId="1" xfId="0" applyFont="1" applyFill="1" applyBorder="1" applyAlignment="1">
      <alignment vertical="center"/>
    </xf>
    <xf numFmtId="4" fontId="11" fillId="11" borderId="1" xfId="0" applyNumberFormat="1" applyFont="1" applyFill="1" applyBorder="1" applyAlignment="1">
      <alignment vertical="center"/>
    </xf>
    <xf numFmtId="0" fontId="11" fillId="18" borderId="1" xfId="0" applyFont="1" applyFill="1" applyBorder="1"/>
    <xf numFmtId="0" fontId="0" fillId="0" borderId="26" xfId="0" applyFont="1" applyBorder="1" applyAlignment="1">
      <alignment horizontal="left"/>
    </xf>
    <xf numFmtId="0" fontId="0" fillId="0" borderId="30" xfId="0" applyFont="1" applyBorder="1" applyAlignment="1">
      <alignment horizontal="left"/>
    </xf>
    <xf numFmtId="0" fontId="0" fillId="11" borderId="8" xfId="0" applyFont="1" applyFill="1" applyBorder="1" applyAlignment="1">
      <alignment horizontal="center"/>
    </xf>
    <xf numFmtId="165" fontId="8" fillId="0" borderId="1" xfId="0" applyNumberFormat="1" applyFont="1" applyFill="1" applyBorder="1" applyAlignment="1">
      <alignment horizontal="right" vertical="center" wrapText="1" indent="1"/>
    </xf>
    <xf numFmtId="0" fontId="59" fillId="2"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10" fontId="8" fillId="0" borderId="1" xfId="0" applyNumberFormat="1" applyFont="1" applyFill="1" applyBorder="1" applyAlignment="1">
      <alignment horizontal="right" vertical="center" wrapText="1" indent="1"/>
    </xf>
    <xf numFmtId="165" fontId="11" fillId="0" borderId="2" xfId="0" applyNumberFormat="1" applyFont="1" applyFill="1" applyBorder="1" applyAlignment="1">
      <alignment horizontal="right" vertical="center" wrapText="1"/>
    </xf>
    <xf numFmtId="165" fontId="11" fillId="0" borderId="8" xfId="0" applyNumberFormat="1" applyFont="1" applyFill="1" applyBorder="1" applyAlignment="1">
      <alignment horizontal="right" vertical="center" wrapText="1"/>
    </xf>
    <xf numFmtId="10" fontId="11" fillId="0" borderId="2" xfId="0" applyNumberFormat="1" applyFont="1" applyFill="1" applyBorder="1" applyAlignment="1">
      <alignment horizontal="right" vertical="center" wrapText="1" indent="1"/>
    </xf>
    <xf numFmtId="10" fontId="11" fillId="0" borderId="8" xfId="0" applyNumberFormat="1" applyFont="1" applyFill="1" applyBorder="1" applyAlignment="1">
      <alignment horizontal="right" vertical="center" wrapText="1" indent="1"/>
    </xf>
    <xf numFmtId="0" fontId="8" fillId="0"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4" fillId="10" borderId="0" xfId="0" applyFont="1" applyFill="1" applyAlignment="1">
      <alignment horizontal="left" vertical="center"/>
    </xf>
    <xf numFmtId="0" fontId="4" fillId="7" borderId="10" xfId="0" applyFont="1" applyFill="1" applyBorder="1" applyAlignment="1">
      <alignment horizontal="left" vertical="center"/>
    </xf>
    <xf numFmtId="4" fontId="4" fillId="0" borderId="0" xfId="0" applyNumberFormat="1" applyFont="1" applyAlignment="1">
      <alignment horizontal="left" vertical="center"/>
    </xf>
    <xf numFmtId="4" fontId="4" fillId="0" borderId="0" xfId="0" applyNumberFormat="1" applyFont="1" applyAlignment="1">
      <alignment horizontal="center" vertical="center" wrapText="1"/>
    </xf>
    <xf numFmtId="4" fontId="6" fillId="0" borderId="0" xfId="0" applyNumberFormat="1" applyFont="1" applyAlignment="1">
      <alignment horizontal="center" vertical="center" wrapText="1"/>
    </xf>
    <xf numFmtId="4" fontId="4" fillId="4" borderId="0" xfId="0" applyNumberFormat="1" applyFont="1" applyFill="1" applyAlignment="1">
      <alignment horizontal="center" vertical="center" wrapText="1"/>
    </xf>
    <xf numFmtId="4" fontId="8" fillId="0" borderId="0" xfId="0" applyNumberFormat="1" applyFont="1" applyAlignment="1">
      <alignment horizontal="center" vertical="center" wrapText="1"/>
    </xf>
    <xf numFmtId="4" fontId="7" fillId="0" borderId="9" xfId="0" applyNumberFormat="1" applyFont="1" applyBorder="1" applyAlignment="1">
      <alignment horizontal="center" vertical="center" wrapText="1"/>
    </xf>
    <xf numFmtId="4" fontId="7" fillId="0" borderId="0" xfId="0" applyNumberFormat="1" applyFont="1" applyAlignment="1">
      <alignment horizontal="center" vertical="center" wrapText="1"/>
    </xf>
    <xf numFmtId="4" fontId="4" fillId="0" borderId="0" xfId="0" applyNumberFormat="1" applyFont="1" applyAlignment="1">
      <alignment horizontal="center" vertical="center"/>
    </xf>
    <xf numFmtId="4" fontId="6" fillId="0" borderId="0" xfId="0" applyNumberFormat="1" applyFont="1" applyAlignment="1">
      <alignment horizontal="center" vertical="center"/>
    </xf>
    <xf numFmtId="4" fontId="17" fillId="0" borderId="54" xfId="0" applyNumberFormat="1" applyFont="1" applyBorder="1" applyAlignment="1">
      <alignment horizontal="center" vertical="center"/>
    </xf>
    <xf numFmtId="4" fontId="17" fillId="0" borderId="1" xfId="0" applyNumberFormat="1" applyFont="1" applyBorder="1" applyAlignment="1">
      <alignment horizontal="center" vertical="center" wrapText="1"/>
    </xf>
    <xf numFmtId="4" fontId="7" fillId="8" borderId="1" xfId="0" applyNumberFormat="1" applyFont="1" applyFill="1" applyBorder="1" applyAlignment="1">
      <alignment horizontal="center" vertical="center" wrapText="1"/>
    </xf>
    <xf numFmtId="4" fontId="17" fillId="8" borderId="1" xfId="0" applyNumberFormat="1" applyFont="1" applyFill="1" applyBorder="1" applyAlignment="1">
      <alignment horizontal="center" vertical="center" wrapText="1"/>
    </xf>
    <xf numFmtId="4" fontId="7" fillId="0" borderId="1" xfId="0" applyNumberFormat="1" applyFont="1" applyBorder="1" applyAlignment="1">
      <alignment horizontal="center" vertical="center"/>
    </xf>
    <xf numFmtId="4" fontId="4" fillId="0" borderId="0" xfId="0" applyNumberFormat="1" applyFont="1" applyFill="1" applyBorder="1" applyAlignment="1">
      <alignment horizontal="center" vertical="center"/>
    </xf>
    <xf numFmtId="4" fontId="4" fillId="0" borderId="1" xfId="0" applyNumberFormat="1" applyFont="1" applyFill="1" applyBorder="1" applyAlignment="1">
      <alignment horizontal="center" vertical="center"/>
    </xf>
    <xf numFmtId="4" fontId="7" fillId="0" borderId="1" xfId="0" applyNumberFormat="1" applyFont="1" applyBorder="1" applyAlignment="1">
      <alignment horizontal="center" vertical="center" wrapText="1"/>
    </xf>
    <xf numFmtId="4" fontId="9" fillId="0" borderId="1" xfId="0" applyNumberFormat="1" applyFont="1" applyBorder="1" applyAlignment="1">
      <alignment horizontal="center" vertical="center" wrapText="1"/>
    </xf>
    <xf numFmtId="4" fontId="17" fillId="16" borderId="54" xfId="0" applyNumberFormat="1" applyFont="1" applyFill="1" applyBorder="1" applyAlignment="1">
      <alignment horizontal="center" vertical="center"/>
    </xf>
    <xf numFmtId="4" fontId="7" fillId="0" borderId="26" xfId="0" applyNumberFormat="1" applyFont="1" applyBorder="1" applyAlignment="1">
      <alignment horizontal="center" vertical="center" wrapText="1"/>
    </xf>
    <xf numFmtId="4" fontId="7" fillId="0" borderId="3" xfId="0" applyNumberFormat="1" applyFont="1" applyBorder="1" applyAlignment="1">
      <alignment horizontal="center" vertical="center" wrapText="1"/>
    </xf>
    <xf numFmtId="4" fontId="7" fillId="0" borderId="30" xfId="0" applyNumberFormat="1" applyFont="1" applyBorder="1" applyAlignment="1">
      <alignment horizontal="center" vertical="center" wrapText="1"/>
    </xf>
    <xf numFmtId="4" fontId="17" fillId="0" borderId="1" xfId="0" applyNumberFormat="1" applyFont="1" applyBorder="1" applyAlignment="1">
      <alignment horizontal="center" vertical="center"/>
    </xf>
    <xf numFmtId="49" fontId="56" fillId="0" borderId="1" xfId="0" applyNumberFormat="1" applyFont="1" applyFill="1" applyBorder="1" applyAlignment="1">
      <alignment horizontal="center" vertical="center" wrapText="1"/>
    </xf>
    <xf numFmtId="0" fontId="31" fillId="8" borderId="26" xfId="0" applyFont="1" applyFill="1" applyBorder="1" applyAlignment="1">
      <alignment horizontal="center" vertical="center" wrapText="1"/>
    </xf>
    <xf numFmtId="0" fontId="31" fillId="8" borderId="3" xfId="0" applyFont="1" applyFill="1" applyBorder="1" applyAlignment="1">
      <alignment horizontal="center" vertical="center" wrapText="1"/>
    </xf>
    <xf numFmtId="0" fontId="8" fillId="0" borderId="30" xfId="0" applyFont="1" applyBorder="1" applyAlignment="1">
      <alignment horizontal="center" vertical="center"/>
    </xf>
    <xf numFmtId="4" fontId="17" fillId="0" borderId="0" xfId="0" applyNumberFormat="1" applyFont="1" applyAlignment="1">
      <alignment horizontal="center" vertical="center" wrapText="1"/>
    </xf>
    <xf numFmtId="4" fontId="7" fillId="0" borderId="1" xfId="0" applyNumberFormat="1" applyFont="1" applyFill="1" applyBorder="1" applyAlignment="1">
      <alignment horizontal="center" vertical="center" wrapText="1"/>
    </xf>
    <xf numFmtId="4" fontId="17" fillId="0" borderId="26" xfId="0" applyNumberFormat="1" applyFont="1" applyBorder="1" applyAlignment="1">
      <alignment horizontal="center" vertical="center"/>
    </xf>
    <xf numFmtId="4" fontId="17" fillId="0" borderId="3" xfId="0" applyNumberFormat="1" applyFont="1" applyBorder="1" applyAlignment="1">
      <alignment horizontal="center" vertical="center"/>
    </xf>
    <xf numFmtId="4" fontId="17" fillId="0" borderId="30" xfId="0" applyNumberFormat="1" applyFont="1" applyBorder="1" applyAlignment="1">
      <alignment horizontal="center" vertical="center"/>
    </xf>
    <xf numFmtId="4" fontId="17" fillId="0" borderId="26" xfId="0" applyNumberFormat="1" applyFont="1" applyBorder="1" applyAlignment="1">
      <alignment horizontal="center" vertical="center" wrapText="1"/>
    </xf>
    <xf numFmtId="4" fontId="17" fillId="0" borderId="3" xfId="0" applyNumberFormat="1" applyFont="1" applyBorder="1" applyAlignment="1">
      <alignment horizontal="center" vertical="center" wrapText="1"/>
    </xf>
    <xf numFmtId="4" fontId="17" fillId="0" borderId="30" xfId="0" applyNumberFormat="1" applyFont="1" applyBorder="1" applyAlignment="1">
      <alignment horizontal="center" vertical="center" wrapText="1"/>
    </xf>
    <xf numFmtId="4" fontId="4" fillId="0" borderId="54" xfId="0" applyNumberFormat="1" applyFont="1" applyBorder="1" applyAlignment="1">
      <alignment horizontal="center" vertical="center"/>
    </xf>
    <xf numFmtId="4" fontId="7" fillId="37" borderId="67" xfId="0" applyNumberFormat="1" applyFont="1" applyFill="1" applyBorder="1" applyAlignment="1">
      <alignment horizontal="center" vertical="center" wrapText="1"/>
    </xf>
    <xf numFmtId="0" fontId="7" fillId="37" borderId="23" xfId="0" applyFont="1" applyFill="1" applyBorder="1" applyAlignment="1">
      <alignment horizontal="center" vertical="center" wrapText="1"/>
    </xf>
    <xf numFmtId="0" fontId="7" fillId="37" borderId="66" xfId="0" applyFont="1" applyFill="1" applyBorder="1" applyAlignment="1">
      <alignment horizontal="center" vertical="center" wrapText="1"/>
    </xf>
    <xf numFmtId="4" fontId="17" fillId="8" borderId="54" xfId="0" applyNumberFormat="1" applyFont="1" applyFill="1" applyBorder="1" applyAlignment="1">
      <alignment horizontal="center" vertical="center" wrapText="1"/>
    </xf>
    <xf numFmtId="4" fontId="7" fillId="8" borderId="18" xfId="0" applyNumberFormat="1" applyFont="1" applyFill="1" applyBorder="1" applyAlignment="1">
      <alignment horizontal="center" vertical="center" wrapText="1"/>
    </xf>
    <xf numFmtId="4" fontId="7" fillId="8" borderId="23" xfId="0" applyNumberFormat="1" applyFont="1" applyFill="1" applyBorder="1" applyAlignment="1">
      <alignment horizontal="center" vertical="center" wrapText="1"/>
    </xf>
    <xf numFmtId="4" fontId="7" fillId="8" borderId="66" xfId="0" applyNumberFormat="1" applyFont="1" applyFill="1" applyBorder="1" applyAlignment="1">
      <alignment horizontal="center" vertical="center" wrapText="1"/>
    </xf>
    <xf numFmtId="4" fontId="7" fillId="37" borderId="18" xfId="0" applyNumberFormat="1" applyFont="1" applyFill="1" applyBorder="1" applyAlignment="1">
      <alignment horizontal="center" vertical="center" wrapText="1"/>
    </xf>
    <xf numFmtId="4" fontId="7" fillId="37" borderId="23" xfId="0" applyNumberFormat="1" applyFont="1" applyFill="1" applyBorder="1" applyAlignment="1">
      <alignment horizontal="center" vertical="center" wrapText="1"/>
    </xf>
    <xf numFmtId="4" fontId="7" fillId="37" borderId="66" xfId="0" applyNumberFormat="1" applyFont="1" applyFill="1" applyBorder="1" applyAlignment="1">
      <alignment horizontal="center" vertical="center" wrapText="1"/>
    </xf>
    <xf numFmtId="4" fontId="7" fillId="8" borderId="40" xfId="0" applyNumberFormat="1" applyFont="1" applyFill="1" applyBorder="1" applyAlignment="1">
      <alignment horizontal="center" vertical="center" wrapText="1"/>
    </xf>
    <xf numFmtId="4" fontId="7" fillId="37" borderId="40" xfId="0" applyNumberFormat="1" applyFont="1" applyFill="1" applyBorder="1" applyAlignment="1">
      <alignment horizontal="center" vertical="center" wrapText="1"/>
    </xf>
    <xf numFmtId="4" fontId="17" fillId="38" borderId="71" xfId="0" applyNumberFormat="1" applyFont="1" applyFill="1" applyBorder="1" applyAlignment="1">
      <alignment horizontal="center" vertical="center" wrapText="1"/>
    </xf>
    <xf numFmtId="4" fontId="17" fillId="38" borderId="0" xfId="0" applyNumberFormat="1" applyFont="1" applyFill="1" applyBorder="1" applyAlignment="1">
      <alignment horizontal="center" vertical="center" wrapText="1"/>
    </xf>
    <xf numFmtId="4" fontId="17" fillId="38" borderId="72" xfId="0" applyNumberFormat="1" applyFont="1" applyFill="1" applyBorder="1" applyAlignment="1">
      <alignment horizontal="center" vertical="center" wrapText="1"/>
    </xf>
    <xf numFmtId="0" fontId="6" fillId="14" borderId="34" xfId="0" applyFont="1" applyFill="1" applyBorder="1" applyAlignment="1">
      <alignment horizontal="center"/>
    </xf>
    <xf numFmtId="0" fontId="6" fillId="14" borderId="44" xfId="0" applyFont="1" applyFill="1" applyBorder="1" applyAlignment="1">
      <alignment horizontal="center"/>
    </xf>
    <xf numFmtId="0" fontId="6" fillId="14" borderId="74" xfId="0" applyFont="1" applyFill="1" applyBorder="1" applyAlignment="1">
      <alignment horizontal="center"/>
    </xf>
    <xf numFmtId="0" fontId="6" fillId="14" borderId="15" xfId="0" applyFont="1" applyFill="1" applyBorder="1" applyAlignment="1">
      <alignment horizontal="center"/>
    </xf>
    <xf numFmtId="0" fontId="6" fillId="14" borderId="17" xfId="0" applyFont="1" applyFill="1" applyBorder="1" applyAlignment="1">
      <alignment horizontal="center"/>
    </xf>
    <xf numFmtId="0" fontId="6" fillId="14" borderId="57" xfId="0" applyFont="1" applyFill="1" applyBorder="1" applyAlignment="1">
      <alignment horizontal="center"/>
    </xf>
    <xf numFmtId="0" fontId="6" fillId="14" borderId="35" xfId="0" applyFont="1" applyFill="1" applyBorder="1" applyAlignment="1">
      <alignment horizontal="left"/>
    </xf>
    <xf numFmtId="0" fontId="6" fillId="14" borderId="73" xfId="0" applyFont="1" applyFill="1" applyBorder="1" applyAlignment="1">
      <alignment horizontal="left"/>
    </xf>
    <xf numFmtId="0" fontId="6" fillId="39" borderId="31" xfId="0" applyFont="1" applyFill="1" applyBorder="1" applyAlignment="1">
      <alignment horizontal="left"/>
    </xf>
    <xf numFmtId="0" fontId="6" fillId="39" borderId="47" xfId="0" applyFont="1" applyFill="1" applyBorder="1" applyAlignment="1">
      <alignment horizontal="left"/>
    </xf>
    <xf numFmtId="0" fontId="20" fillId="20" borderId="26" xfId="0" applyFont="1" applyFill="1" applyBorder="1" applyAlignment="1">
      <alignment horizontal="center" vertical="center"/>
    </xf>
    <xf numFmtId="0" fontId="20" fillId="20" borderId="3" xfId="0" applyFont="1" applyFill="1" applyBorder="1" applyAlignment="1">
      <alignment horizontal="center" vertical="center"/>
    </xf>
    <xf numFmtId="0" fontId="20" fillId="20" borderId="30" xfId="0" applyFont="1" applyFill="1" applyBorder="1" applyAlignment="1">
      <alignment horizontal="center" vertical="center"/>
    </xf>
    <xf numFmtId="0" fontId="20" fillId="20" borderId="52" xfId="0" applyFont="1" applyFill="1" applyBorder="1" applyAlignment="1">
      <alignment horizontal="center" vertical="center"/>
    </xf>
    <xf numFmtId="0" fontId="20" fillId="20" borderId="10" xfId="0" applyFont="1" applyFill="1" applyBorder="1" applyAlignment="1">
      <alignment horizontal="center" vertical="center"/>
    </xf>
    <xf numFmtId="0" fontId="8" fillId="0" borderId="26" xfId="0" applyFont="1" applyFill="1" applyBorder="1" applyAlignment="1">
      <alignment horizontal="left"/>
    </xf>
    <xf numFmtId="0" fontId="8" fillId="0" borderId="30" xfId="0" applyFont="1" applyFill="1" applyBorder="1" applyAlignment="1">
      <alignment horizontal="left"/>
    </xf>
    <xf numFmtId="173" fontId="25" fillId="0" borderId="0" xfId="0" applyNumberFormat="1" applyFont="1" applyAlignment="1">
      <alignment horizontal="center" vertical="center"/>
    </xf>
    <xf numFmtId="174" fontId="25" fillId="0" borderId="0" xfId="0" applyNumberFormat="1" applyFont="1" applyAlignment="1">
      <alignment horizontal="center" vertical="center"/>
    </xf>
    <xf numFmtId="0" fontId="20" fillId="20" borderId="53" xfId="0" applyFont="1" applyFill="1" applyBorder="1" applyAlignment="1">
      <alignment horizontal="center" vertical="center"/>
    </xf>
    <xf numFmtId="0" fontId="20" fillId="20" borderId="20" xfId="0" applyFont="1" applyFill="1" applyBorder="1" applyAlignment="1">
      <alignment horizontal="center" vertical="center"/>
    </xf>
    <xf numFmtId="0" fontId="20" fillId="20" borderId="54" xfId="0" applyFont="1" applyFill="1" applyBorder="1" applyAlignment="1">
      <alignment horizontal="center" vertical="center"/>
    </xf>
    <xf numFmtId="0" fontId="20" fillId="20" borderId="55" xfId="0" applyFont="1" applyFill="1" applyBorder="1" applyAlignment="1">
      <alignment horizontal="center" vertical="center"/>
    </xf>
    <xf numFmtId="0" fontId="6" fillId="19" borderId="2" xfId="0" applyFont="1" applyFill="1" applyBorder="1" applyAlignment="1">
      <alignment horizontal="center" vertical="center" wrapText="1"/>
    </xf>
    <xf numFmtId="0" fontId="6" fillId="19" borderId="7" xfId="0" applyFont="1" applyFill="1" applyBorder="1" applyAlignment="1">
      <alignment horizontal="center" vertical="center" wrapText="1"/>
    </xf>
    <xf numFmtId="0" fontId="6" fillId="19" borderId="8" xfId="0" applyFont="1" applyFill="1" applyBorder="1" applyAlignment="1">
      <alignment horizontal="center" vertical="center" wrapText="1"/>
    </xf>
    <xf numFmtId="0" fontId="16" fillId="19" borderId="26" xfId="0" applyFont="1" applyFill="1" applyBorder="1" applyAlignment="1"/>
    <xf numFmtId="0" fontId="16" fillId="19" borderId="3" xfId="0" applyFont="1" applyFill="1" applyBorder="1" applyAlignment="1"/>
    <xf numFmtId="0" fontId="16" fillId="19" borderId="30" xfId="0" applyFont="1" applyFill="1" applyBorder="1" applyAlignment="1"/>
    <xf numFmtId="0" fontId="8" fillId="0" borderId="26" xfId="0" applyFont="1" applyBorder="1" applyAlignment="1">
      <alignment horizontal="left"/>
    </xf>
    <xf numFmtId="0" fontId="8" fillId="0" borderId="30" xfId="0" applyFont="1" applyBorder="1" applyAlignment="1">
      <alignment horizontal="left"/>
    </xf>
    <xf numFmtId="172" fontId="6" fillId="19" borderId="1" xfId="0" applyNumberFormat="1" applyFont="1" applyFill="1" applyBorder="1" applyAlignment="1">
      <alignment horizontal="right"/>
    </xf>
    <xf numFmtId="176" fontId="6" fillId="19" borderId="1" xfId="0" applyNumberFormat="1" applyFont="1" applyFill="1" applyBorder="1" applyAlignment="1">
      <alignment horizontal="center"/>
    </xf>
    <xf numFmtId="10" fontId="6" fillId="19" borderId="1" xfId="1" applyNumberFormat="1" applyFont="1" applyFill="1" applyBorder="1" applyAlignment="1">
      <alignment horizontal="right"/>
    </xf>
    <xf numFmtId="172" fontId="6" fillId="19" borderId="1" xfId="0" applyNumberFormat="1" applyFont="1" applyFill="1" applyBorder="1" applyAlignment="1">
      <alignment horizontal="center"/>
    </xf>
    <xf numFmtId="0" fontId="0" fillId="0" borderId="26" xfId="0" applyFont="1" applyBorder="1" applyAlignment="1">
      <alignment horizontal="left"/>
    </xf>
    <xf numFmtId="0" fontId="0" fillId="0" borderId="30" xfId="0" applyFont="1" applyBorder="1" applyAlignment="1">
      <alignment horizontal="left"/>
    </xf>
    <xf numFmtId="4" fontId="11" fillId="18" borderId="26" xfId="0" applyNumberFormat="1" applyFont="1" applyFill="1" applyBorder="1" applyAlignment="1">
      <alignment horizontal="left"/>
    </xf>
    <xf numFmtId="4" fontId="11" fillId="18" borderId="30" xfId="0" applyNumberFormat="1" applyFont="1" applyFill="1" applyBorder="1" applyAlignment="1">
      <alignment horizontal="left"/>
    </xf>
    <xf numFmtId="4" fontId="16" fillId="22" borderId="2" xfId="0" applyNumberFormat="1" applyFont="1" applyFill="1" applyBorder="1" applyAlignment="1">
      <alignment horizontal="right" vertical="center"/>
    </xf>
    <xf numFmtId="4" fontId="16" fillId="22" borderId="8" xfId="0" applyNumberFormat="1" applyFont="1" applyFill="1" applyBorder="1" applyAlignment="1">
      <alignment horizontal="right" vertical="center"/>
    </xf>
    <xf numFmtId="0" fontId="20" fillId="20" borderId="26" xfId="0" applyFont="1" applyFill="1" applyBorder="1" applyAlignment="1">
      <alignment horizontal="left" vertical="center"/>
    </xf>
    <xf numFmtId="0" fontId="20" fillId="20" borderId="3" xfId="0" applyFont="1" applyFill="1" applyBorder="1" applyAlignment="1">
      <alignment horizontal="left" vertical="center"/>
    </xf>
    <xf numFmtId="10" fontId="16" fillId="22" borderId="2" xfId="1" applyNumberFormat="1" applyFont="1" applyFill="1" applyBorder="1" applyAlignment="1">
      <alignment horizontal="right" vertical="center"/>
    </xf>
    <xf numFmtId="10" fontId="16" fillId="22" borderId="8" xfId="1" applyNumberFormat="1" applyFont="1" applyFill="1" applyBorder="1" applyAlignment="1">
      <alignment horizontal="right" vertical="center"/>
    </xf>
    <xf numFmtId="0" fontId="34" fillId="23" borderId="52" xfId="0" applyFont="1" applyFill="1" applyBorder="1" applyAlignment="1">
      <alignment horizontal="center" vertical="center" wrapText="1"/>
    </xf>
    <xf numFmtId="0" fontId="34" fillId="23" borderId="10" xfId="0" applyFont="1" applyFill="1" applyBorder="1" applyAlignment="1">
      <alignment horizontal="center" vertical="center" wrapText="1"/>
    </xf>
    <xf numFmtId="0" fontId="34" fillId="23" borderId="53" xfId="0" applyFont="1" applyFill="1" applyBorder="1" applyAlignment="1">
      <alignment horizontal="center" vertical="center" wrapText="1"/>
    </xf>
    <xf numFmtId="0" fontId="34" fillId="23" borderId="20" xfId="0" applyFont="1" applyFill="1" applyBorder="1" applyAlignment="1">
      <alignment horizontal="center" vertical="center" wrapText="1"/>
    </xf>
    <xf numFmtId="0" fontId="34" fillId="23" borderId="54" xfId="0" applyFont="1" applyFill="1" applyBorder="1" applyAlignment="1">
      <alignment horizontal="center" vertical="center" wrapText="1"/>
    </xf>
    <xf numFmtId="0" fontId="34" fillId="23" borderId="55" xfId="0" applyFont="1" applyFill="1" applyBorder="1" applyAlignment="1">
      <alignment horizontal="center" vertical="center" wrapText="1"/>
    </xf>
    <xf numFmtId="0" fontId="20" fillId="21" borderId="1" xfId="0" applyFont="1" applyFill="1" applyBorder="1" applyAlignment="1">
      <alignment horizontal="center" vertical="center"/>
    </xf>
    <xf numFmtId="0" fontId="20" fillId="21" borderId="2" xfId="0" applyFont="1" applyFill="1" applyBorder="1" applyAlignment="1">
      <alignment horizontal="center" vertical="center"/>
    </xf>
    <xf numFmtId="0" fontId="20" fillId="21" borderId="26" xfId="0" applyFont="1" applyFill="1" applyBorder="1" applyAlignment="1">
      <alignment horizontal="center" vertical="center"/>
    </xf>
    <xf numFmtId="0" fontId="20" fillId="21" borderId="3" xfId="0" applyFont="1" applyFill="1" applyBorder="1" applyAlignment="1">
      <alignment horizontal="center" vertical="center"/>
    </xf>
    <xf numFmtId="0" fontId="20" fillId="21" borderId="30" xfId="0" applyFont="1" applyFill="1" applyBorder="1" applyAlignment="1">
      <alignment horizontal="center" vertical="center"/>
    </xf>
    <xf numFmtId="0" fontId="16" fillId="21" borderId="26" xfId="0" applyFont="1" applyFill="1" applyBorder="1" applyAlignment="1">
      <alignment horizontal="left"/>
    </xf>
    <xf numFmtId="0" fontId="16" fillId="21" borderId="30" xfId="0" applyFont="1" applyFill="1" applyBorder="1" applyAlignment="1">
      <alignment horizontal="left"/>
    </xf>
    <xf numFmtId="0" fontId="29" fillId="0" borderId="0" xfId="0" applyFont="1" applyBorder="1" applyAlignment="1">
      <alignment horizontal="left" vertical="top" wrapText="1"/>
    </xf>
    <xf numFmtId="0" fontId="20" fillId="21" borderId="52" xfId="0" applyFont="1" applyFill="1" applyBorder="1" applyAlignment="1">
      <alignment horizontal="center" vertical="center" wrapText="1"/>
    </xf>
    <xf numFmtId="0" fontId="20" fillId="21" borderId="10" xfId="0" applyFont="1" applyFill="1" applyBorder="1" applyAlignment="1">
      <alignment horizontal="center" vertical="center" wrapText="1"/>
    </xf>
    <xf numFmtId="0" fontId="20" fillId="21" borderId="53" xfId="0" applyFont="1" applyFill="1" applyBorder="1" applyAlignment="1">
      <alignment horizontal="center" vertical="center" wrapText="1"/>
    </xf>
    <xf numFmtId="0" fontId="20" fillId="21" borderId="20" xfId="0" applyFont="1" applyFill="1" applyBorder="1" applyAlignment="1">
      <alignment horizontal="center" vertical="center" wrapText="1"/>
    </xf>
    <xf numFmtId="0" fontId="20" fillId="21" borderId="54" xfId="0" applyFont="1" applyFill="1" applyBorder="1" applyAlignment="1">
      <alignment horizontal="center" vertical="center" wrapText="1"/>
    </xf>
    <xf numFmtId="0" fontId="20" fillId="21" borderId="55" xfId="0" applyFont="1" applyFill="1" applyBorder="1" applyAlignment="1">
      <alignment horizontal="center" vertical="center" wrapText="1"/>
    </xf>
    <xf numFmtId="0" fontId="16" fillId="21" borderId="26" xfId="0" applyFont="1" applyFill="1" applyBorder="1" applyAlignment="1">
      <alignment horizontal="center"/>
    </xf>
    <xf numFmtId="0" fontId="16" fillId="21" borderId="3" xfId="0" applyFont="1" applyFill="1" applyBorder="1" applyAlignment="1">
      <alignment horizontal="center"/>
    </xf>
    <xf numFmtId="0" fontId="14" fillId="13" borderId="34" xfId="0" applyFont="1" applyFill="1" applyBorder="1" applyAlignment="1">
      <alignment horizontal="left" vertical="center"/>
    </xf>
    <xf numFmtId="0" fontId="14" fillId="13" borderId="44" xfId="0" applyFont="1" applyFill="1" applyBorder="1" applyAlignment="1">
      <alignment horizontal="left" vertical="center"/>
    </xf>
    <xf numFmtId="0" fontId="14" fillId="13" borderId="14" xfId="0" applyFont="1" applyFill="1" applyBorder="1" applyAlignment="1">
      <alignment horizontal="left" vertical="center"/>
    </xf>
    <xf numFmtId="0" fontId="0" fillId="16" borderId="34" xfId="0" applyFill="1" applyBorder="1" applyAlignment="1">
      <alignment horizontal="left" vertical="center"/>
    </xf>
    <xf numFmtId="0" fontId="0" fillId="16" borderId="44" xfId="0" applyFill="1" applyBorder="1" applyAlignment="1">
      <alignment horizontal="left" vertical="center"/>
    </xf>
    <xf numFmtId="0" fontId="0" fillId="16" borderId="47" xfId="0" applyFill="1" applyBorder="1" applyAlignment="1">
      <alignment horizontal="left" vertical="center"/>
    </xf>
    <xf numFmtId="0" fontId="0" fillId="16" borderId="0" xfId="0" applyFill="1" applyBorder="1" applyAlignment="1">
      <alignment horizontal="left" vertical="center"/>
    </xf>
    <xf numFmtId="0" fontId="0" fillId="16" borderId="48" xfId="0" applyFill="1" applyBorder="1" applyAlignment="1">
      <alignment horizontal="left" vertical="center"/>
    </xf>
    <xf numFmtId="4" fontId="24" fillId="0" borderId="0" xfId="0" applyNumberFormat="1" applyFont="1" applyBorder="1" applyAlignment="1">
      <alignment horizontal="center"/>
    </xf>
    <xf numFmtId="4" fontId="24" fillId="0" borderId="0" xfId="0" applyNumberFormat="1" applyFont="1" applyFill="1" applyBorder="1" applyAlignment="1">
      <alignment horizontal="center"/>
    </xf>
    <xf numFmtId="0" fontId="14" fillId="17" borderId="34" xfId="0" applyFont="1" applyFill="1" applyBorder="1" applyAlignment="1">
      <alignment horizontal="left" vertical="center"/>
    </xf>
    <xf numFmtId="0" fontId="14" fillId="17" borderId="44" xfId="0" applyFont="1" applyFill="1" applyBorder="1" applyAlignment="1">
      <alignment horizontal="left" vertical="center"/>
    </xf>
    <xf numFmtId="0" fontId="14" fillId="17" borderId="14" xfId="0" applyFont="1" applyFill="1" applyBorder="1" applyAlignment="1">
      <alignment horizontal="left" vertical="center"/>
    </xf>
    <xf numFmtId="0" fontId="17" fillId="17" borderId="34" xfId="0" applyFont="1" applyFill="1" applyBorder="1" applyAlignment="1">
      <alignment horizontal="left" vertical="center"/>
    </xf>
    <xf numFmtId="0" fontId="17" fillId="17" borderId="44" xfId="0" applyFont="1" applyFill="1" applyBorder="1" applyAlignment="1">
      <alignment horizontal="left" vertical="center"/>
    </xf>
    <xf numFmtId="0" fontId="17" fillId="17" borderId="0" xfId="0" applyFont="1" applyFill="1" applyBorder="1" applyAlignment="1">
      <alignment horizontal="left" vertical="center"/>
    </xf>
    <xf numFmtId="0" fontId="17" fillId="17" borderId="47" xfId="0" applyFont="1" applyFill="1" applyBorder="1" applyAlignment="1">
      <alignment horizontal="left" vertical="center"/>
    </xf>
    <xf numFmtId="0" fontId="17" fillId="17" borderId="48" xfId="0" applyFont="1" applyFill="1" applyBorder="1" applyAlignment="1">
      <alignment horizontal="left" vertical="center"/>
    </xf>
    <xf numFmtId="0" fontId="17" fillId="0" borderId="0" xfId="0" applyFont="1" applyBorder="1" applyAlignment="1">
      <alignment horizontal="center" vertical="center" wrapText="1"/>
    </xf>
    <xf numFmtId="0" fontId="42" fillId="7" borderId="0" xfId="0" applyFont="1" applyFill="1" applyAlignment="1" applyProtection="1">
      <alignment horizontal="center" vertical="center" wrapText="1"/>
      <protection locked="0"/>
    </xf>
    <xf numFmtId="0" fontId="41" fillId="26" borderId="0" xfId="0" applyFont="1" applyFill="1" applyAlignment="1" applyProtection="1">
      <alignment horizontal="left" vertical="center" wrapText="1"/>
      <protection locked="0"/>
    </xf>
    <xf numFmtId="0" fontId="42" fillId="27" borderId="47" xfId="0" applyFont="1" applyFill="1" applyBorder="1" applyAlignment="1" applyProtection="1">
      <alignment horizontal="center" vertical="center" wrapText="1"/>
      <protection locked="0"/>
    </xf>
    <xf numFmtId="0" fontId="42" fillId="28" borderId="0" xfId="0" applyFont="1" applyFill="1" applyAlignment="1" applyProtection="1">
      <alignment horizontal="center" vertical="center" wrapText="1"/>
      <protection locked="0"/>
    </xf>
    <xf numFmtId="0" fontId="42" fillId="16" borderId="0" xfId="0" applyFont="1" applyFill="1" applyAlignment="1" applyProtection="1">
      <alignment horizontal="center" vertical="center" wrapText="1"/>
      <protection locked="0"/>
    </xf>
    <xf numFmtId="0" fontId="47" fillId="26" borderId="0" xfId="0" applyFont="1" applyFill="1" applyAlignment="1" applyProtection="1">
      <alignment horizontal="left" vertical="center" wrapText="1"/>
      <protection locked="0"/>
    </xf>
    <xf numFmtId="0" fontId="36" fillId="0" borderId="1" xfId="0" applyFont="1" applyBorder="1"/>
    <xf numFmtId="4" fontId="11" fillId="0" borderId="1" xfId="0" applyNumberFormat="1" applyFont="1" applyBorder="1"/>
  </cellXfs>
  <cellStyles count="6">
    <cellStyle name="Normalno" xfId="0" builtinId="0"/>
    <cellStyle name="Normalno 3" xfId="4"/>
    <cellStyle name="Postotak" xfId="1" builtinId="5"/>
    <cellStyle name="Valuta" xfId="2" builtinId="4"/>
    <cellStyle name="Zarez" xfId="3" builtinId="3"/>
    <cellStyle name="Zarez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mg11\minpo-ib1$\Users\lbando\AppData\Local\Microsoft\Windows\Temporary%20Internet%20Files\Content.Outlook\PMY3RQ2F\structure_OP_P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inpo.hr\dfs\MINPO-IB1\23.%20FINANCIAL%20MANAGEMENT\PRORA&#268;UN\2014-2016%20SF\Tablica%20izra&#269;una_27%2006%20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ipa\ESI_SKOP\5_Tjedna%20tablica%20apsorpcije\2021\GOSP%20OPKK_1.4.2021%20gospodasrtv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ipa\ESI_SKOP\Users\mledenko.MZOIP\Desktop\Marija%20Ledenko\1_Tablica%20apsorpcije\2020\10_listopad\23.10.2020\Apsorpcija%20OPKK_23.10.2020.%20gospodarstv.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rvipa\ESI_SKOP\5_Tjedna%20tablica%20apsorpcije\2021\OTPAD%20Apsorpcija%20OPKK_2.4.2021_6i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vipa\ESI_SKOP\Users\jmilinkovic\Desktop\Apsorpcija%2026.2\OTPAD%20Apsorpcija%20OPKK_26.2.2021_.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rvipa\ESI_SKOP\Users\vbegic\Desktop\OTPAD%20Apsorpcija%20OPKK_19.3.20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TJEDNO%20IZVJE&#352;&#262;E_DT\EU%20fondovi%20izvje&#353;&#263;e_01_04_21_bez_F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OP"/>
      <sheetName val="4OP"/>
      <sheetName val="3OP(a)"/>
      <sheetName val="3OP(b)"/>
      <sheetName val="2OP"/>
      <sheetName val="1OP"/>
      <sheetName val="BRIDGE"/>
      <sheetName val="TO"/>
      <sheetName val="CALCULATOR"/>
      <sheetName val="spend increas"/>
      <sheetName val="categor"/>
      <sheetName val="categor actual"/>
      <sheetName val="budg execut 2011"/>
      <sheetName val="EU SF 2014-20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KCIJA 2014"/>
      <sheetName val="cff IPA"/>
      <sheetName val="plan plaćanja po mjes"/>
      <sheetName val="plan plaćanja po mjes HRK"/>
      <sheetName val="SF 2013 + SEECEL 2014"/>
      <sheetName val="Izračun SEECEL works"/>
      <sheetName val="Izračun SEECEL supply"/>
      <sheetName val="Izračun SEECEL nadzor"/>
      <sheetName val="SEECEL UKUPNO"/>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KK sažetak"/>
      <sheetName val="Pozivi u tijeku"/>
      <sheetName val="energetika - 4b1"/>
      <sheetName val="energetika - 4b2"/>
      <sheetName val="OPKK vode"/>
      <sheetName val="6ii ostali projekti u pripremi"/>
      <sheetName val="Proračun stanje vode"/>
      <sheetName val="SC 6i1_1"/>
      <sheetName val="SC 6i1_2"/>
      <sheetName val="5a1"/>
      <sheetName val="SC 6e1 6iii"/>
      <sheetName val="OPKK PO1 i PO3"/>
      <sheetName val="Li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2">
          <cell r="AG52">
            <v>1637601250.26</v>
          </cell>
          <cell r="AM52">
            <v>567462677.09000003</v>
          </cell>
        </row>
        <row r="53">
          <cell r="AG53">
            <v>608249510.32000005</v>
          </cell>
          <cell r="AM53">
            <v>176343733.00999999</v>
          </cell>
        </row>
        <row r="54">
          <cell r="AM54">
            <v>4240925710.4000001</v>
          </cell>
        </row>
        <row r="55">
          <cell r="AG55">
            <v>1026684382.9299999</v>
          </cell>
          <cell r="AM55">
            <v>686174918.8099997</v>
          </cell>
        </row>
        <row r="56">
          <cell r="AG56">
            <v>2745178926.0813007</v>
          </cell>
          <cell r="AM56">
            <v>2165998765.0299997</v>
          </cell>
        </row>
        <row r="57">
          <cell r="AG57">
            <v>666419705.63</v>
          </cell>
          <cell r="AM57">
            <v>305109761.58999997</v>
          </cell>
        </row>
      </sheetData>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KK sažetak"/>
      <sheetName val="pozivi u tijeku"/>
      <sheetName val="energetika - 4b1"/>
      <sheetName val="energetika - 4b2"/>
      <sheetName val="OPKK vode"/>
      <sheetName val="6ii ostali projekti u pripremi"/>
      <sheetName val="Proračun stanje vode"/>
      <sheetName val="SC 6i1_1"/>
      <sheetName val="SC 6i1_2"/>
      <sheetName val="5a1"/>
      <sheetName val="SC 6e1  6iii"/>
      <sheetName val="OPKK PO1 i PO3"/>
    </sheetNames>
    <sheetDataSet>
      <sheetData sheetId="0"/>
      <sheetData sheetId="1"/>
      <sheetData sheetId="2"/>
      <sheetData sheetId="3"/>
      <sheetData sheetId="4"/>
      <sheetData sheetId="5"/>
      <sheetData sheetId="6"/>
      <sheetData sheetId="7"/>
      <sheetData sheetId="8"/>
      <sheetData sheetId="9">
        <row r="36">
          <cell r="E36">
            <v>361349664.63999999</v>
          </cell>
        </row>
      </sheetData>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KK sažetak"/>
      <sheetName val="Pozivi u tijeku"/>
      <sheetName val="energetika - 4b1"/>
      <sheetName val="energetika - 4b2"/>
      <sheetName val="OPKK vode"/>
      <sheetName val="6ii ostali projekti u pripremi"/>
      <sheetName val="Proračun stanje vode"/>
      <sheetName val="SC 6i1_1"/>
      <sheetName val="SC 6i1_2"/>
      <sheetName val="5a1"/>
      <sheetName val="SC 6e1 6iii"/>
      <sheetName val="OPKK PO 1 i 3"/>
      <sheetName val="Li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6">
          <cell r="Z16">
            <v>157044885.20999998</v>
          </cell>
        </row>
        <row r="37">
          <cell r="T37">
            <v>19231900.220000003</v>
          </cell>
        </row>
        <row r="44">
          <cell r="Z44">
            <v>76544666.75999999</v>
          </cell>
        </row>
        <row r="57">
          <cell r="K57">
            <v>63061243.840000011</v>
          </cell>
        </row>
        <row r="124">
          <cell r="D124">
            <v>139403225.32999998</v>
          </cell>
          <cell r="E124">
            <v>7915518.8300000001</v>
          </cell>
        </row>
      </sheetData>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KK sažetak"/>
      <sheetName val="Pozivi u tijeku"/>
      <sheetName val="energetika - 4b1"/>
      <sheetName val="energetika - 4b2"/>
      <sheetName val="OPKK vode"/>
      <sheetName val="6ii ostali projekti u pripremi"/>
      <sheetName val="Proračun stanje vode"/>
      <sheetName val="SC 6i1_1"/>
      <sheetName val="SC 6i1_2"/>
      <sheetName val="5a1"/>
      <sheetName val="SC 6e1 6iii"/>
      <sheetName val="OPKK PO1 i PO3"/>
      <sheetName val="List1"/>
    </sheetNames>
    <sheetDataSet>
      <sheetData sheetId="0"/>
      <sheetData sheetId="1"/>
      <sheetData sheetId="2"/>
      <sheetData sheetId="3"/>
      <sheetData sheetId="4"/>
      <sheetData sheetId="5"/>
      <sheetData sheetId="6"/>
      <sheetData sheetId="7"/>
      <sheetData sheetId="8">
        <row r="16">
          <cell r="AA16">
            <v>581130.56000000006</v>
          </cell>
        </row>
      </sheetData>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KK sažetak"/>
      <sheetName val="Pozivi u tijeku"/>
      <sheetName val="energetika - 4b1"/>
      <sheetName val="energetika - 4b2"/>
      <sheetName val="OPKK vode"/>
      <sheetName val="6ii ostali projekti u pripremi"/>
      <sheetName val="Proračun stanje vode"/>
      <sheetName val="SC 6i1_1"/>
      <sheetName val="SC 6i1_2"/>
      <sheetName val="5a1"/>
      <sheetName val="SC 6e1 6iii"/>
      <sheetName val="OPKK PO1 i PO3"/>
      <sheetName val="List1"/>
    </sheetNames>
    <sheetDataSet>
      <sheetData sheetId="0"/>
      <sheetData sheetId="1"/>
      <sheetData sheetId="2"/>
      <sheetData sheetId="3"/>
      <sheetData sheetId="4"/>
      <sheetData sheetId="5"/>
      <sheetData sheetId="6"/>
      <sheetData sheetId="7"/>
      <sheetData sheetId="8">
        <row r="16">
          <cell r="Z16">
            <v>115967222.34</v>
          </cell>
        </row>
        <row r="37">
          <cell r="S37">
            <v>140563100.77000001</v>
          </cell>
        </row>
        <row r="53">
          <cell r="Z53">
            <v>0</v>
          </cell>
        </row>
      </sheetData>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objave 2018"/>
      <sheetName val="Pomoćna"/>
      <sheetName val="Pozivi PO3"/>
      <sheetName val="Performance FWK"/>
      <sheetName val="Sheet1"/>
      <sheetName val="Sheet2"/>
      <sheetName val="Sheet3"/>
      <sheetName val="HB&amp;HBOR-Financijski instrumenti"/>
      <sheetName val="Selekcija i provedba"/>
      <sheetName val="PO1"/>
      <sheetName val="Financijski pregled PO3"/>
      <sheetName val="Leftoveri"/>
      <sheetName val="Projekcija 2023 za PO3"/>
      <sheetName val="FI"/>
      <sheetName val="REZIME"/>
      <sheetName val="Plan objave 2020"/>
      <sheetName val="Selekcija i provedba - dodatak"/>
      <sheetName val="Područja ulaganj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ow r="4">
          <cell r="F4">
            <v>212800000</v>
          </cell>
        </row>
        <row r="5">
          <cell r="F5">
            <v>524400000</v>
          </cell>
        </row>
        <row r="6">
          <cell r="F6">
            <v>288800000</v>
          </cell>
        </row>
        <row r="7">
          <cell r="F7">
            <v>209000000</v>
          </cell>
        </row>
        <row r="8">
          <cell r="F8">
            <v>468016770.39999998</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1"/>
  <sheetViews>
    <sheetView topLeftCell="A7" zoomScale="80" zoomScaleNormal="80" workbookViewId="0">
      <selection activeCell="L19" sqref="L19"/>
    </sheetView>
  </sheetViews>
  <sheetFormatPr defaultColWidth="9.140625" defaultRowHeight="12.75" x14ac:dyDescent="0.25"/>
  <cols>
    <col min="1" max="1" width="9.140625" style="29"/>
    <col min="2" max="2" width="17.42578125" style="29" customWidth="1"/>
    <col min="3" max="3" width="58.42578125" style="29" customWidth="1"/>
    <col min="4" max="4" width="14.5703125" style="29" customWidth="1"/>
    <col min="5" max="5" width="59.42578125" style="29" customWidth="1"/>
    <col min="6" max="6" width="22.42578125" style="29" bestFit="1" customWidth="1"/>
    <col min="7" max="7" width="29.7109375" style="29" customWidth="1"/>
    <col min="8" max="8" width="27.28515625" style="29" customWidth="1"/>
    <col min="9" max="9" width="12.85546875" style="1208" customWidth="1"/>
    <col min="10" max="10" width="31.140625" style="29" customWidth="1"/>
    <col min="11" max="11" width="12.5703125" style="29" customWidth="1"/>
    <col min="12" max="12" width="27.140625" style="29" customWidth="1"/>
    <col min="13" max="13" width="15.5703125" style="29" customWidth="1"/>
    <col min="14" max="14" width="18.28515625" style="29" customWidth="1"/>
    <col min="15" max="15" width="21.85546875" style="29" customWidth="1"/>
    <col min="16" max="16384" width="9.140625" style="29"/>
  </cols>
  <sheetData>
    <row r="1" spans="2:15" ht="15.75" x14ac:dyDescent="0.25">
      <c r="K1" s="1" t="s">
        <v>2147</v>
      </c>
      <c r="L1" s="1209"/>
    </row>
    <row r="2" spans="2:15" ht="26.25" x14ac:dyDescent="0.25">
      <c r="B2" s="1377" t="s">
        <v>0</v>
      </c>
      <c r="C2" s="1377"/>
      <c r="D2" s="1377"/>
      <c r="E2" s="1377"/>
      <c r="F2" s="1377"/>
      <c r="G2" s="1377"/>
      <c r="H2" s="1377"/>
      <c r="I2" s="1377"/>
      <c r="J2" s="1377"/>
      <c r="K2" s="1377"/>
    </row>
    <row r="3" spans="2:15" s="23" customFormat="1" ht="15" x14ac:dyDescent="0.25">
      <c r="B3" s="1210"/>
      <c r="C3" s="1210"/>
      <c r="D3" s="1210"/>
      <c r="E3" s="1210"/>
      <c r="F3" s="1210"/>
      <c r="I3" s="1211"/>
    </row>
    <row r="4" spans="2:15" ht="30" x14ac:dyDescent="0.25">
      <c r="B4" s="2" t="s">
        <v>1</v>
      </c>
      <c r="C4" s="2" t="s">
        <v>2</v>
      </c>
      <c r="D4" s="2" t="s">
        <v>3</v>
      </c>
      <c r="E4" s="2" t="s">
        <v>4</v>
      </c>
      <c r="F4" s="2" t="s">
        <v>5</v>
      </c>
      <c r="G4" s="2" t="s">
        <v>6</v>
      </c>
      <c r="H4" s="2" t="s">
        <v>7</v>
      </c>
      <c r="I4" s="3" t="s">
        <v>8</v>
      </c>
      <c r="J4" s="2" t="s">
        <v>9</v>
      </c>
      <c r="K4" s="2" t="s">
        <v>10</v>
      </c>
      <c r="L4" s="4" t="s">
        <v>11</v>
      </c>
    </row>
    <row r="5" spans="2:15" ht="30" customHeight="1" x14ac:dyDescent="0.25">
      <c r="B5" s="1378" t="s">
        <v>12</v>
      </c>
      <c r="C5" s="1379" t="s">
        <v>13</v>
      </c>
      <c r="D5" s="62" t="s">
        <v>14</v>
      </c>
      <c r="E5" s="1269" t="s">
        <v>15</v>
      </c>
      <c r="F5" s="1268">
        <f>G5/7.6</f>
        <v>224982713.66221097</v>
      </c>
      <c r="G5" s="1268">
        <v>1709868623.8328032</v>
      </c>
      <c r="H5" s="1228">
        <f>'[3]OPKK PO1 i PO3'!AG52</f>
        <v>1637601250.26</v>
      </c>
      <c r="I5" s="5">
        <f t="shared" ref="I5:I10" si="0">H5/G5</f>
        <v>0.9577351308951384</v>
      </c>
      <c r="J5" s="1228">
        <f>'[3]OPKK PO1 i PO3'!AM52</f>
        <v>567462677.09000003</v>
      </c>
      <c r="K5" s="1270">
        <f>J5/G5</f>
        <v>0.33187501611555886</v>
      </c>
      <c r="L5" s="6"/>
    </row>
    <row r="6" spans="2:15" ht="45" x14ac:dyDescent="0.25">
      <c r="B6" s="1378"/>
      <c r="C6" s="1379"/>
      <c r="D6" s="62" t="s">
        <v>16</v>
      </c>
      <c r="E6" s="1269" t="s">
        <v>17</v>
      </c>
      <c r="F6" s="1268">
        <f t="shared" ref="F6:F10" si="1">G6/7.6</f>
        <v>84888603.178947359</v>
      </c>
      <c r="G6" s="1268">
        <v>645153384.15999985</v>
      </c>
      <c r="H6" s="1294">
        <f>'[3]OPKK PO1 i PO3'!AG53</f>
        <v>608249510.32000005</v>
      </c>
      <c r="I6" s="5">
        <f>H6/G6</f>
        <v>0.94279829456672659</v>
      </c>
      <c r="J6" s="1228">
        <f>'[3]OPKK PO1 i PO3'!AM53</f>
        <v>176343733.00999999</v>
      </c>
      <c r="K6" s="1270">
        <f t="shared" ref="K6:K10" si="2">J6/G6</f>
        <v>0.27333613577738941</v>
      </c>
      <c r="L6" s="7"/>
    </row>
    <row r="7" spans="2:15" ht="51" x14ac:dyDescent="0.25">
      <c r="B7" s="1378" t="s">
        <v>18</v>
      </c>
      <c r="C7" s="1379" t="s">
        <v>19</v>
      </c>
      <c r="D7" s="62" t="s">
        <v>20</v>
      </c>
      <c r="E7" s="1269" t="s">
        <v>21</v>
      </c>
      <c r="F7" s="1268">
        <f t="shared" si="1"/>
        <v>824063205.31578946</v>
      </c>
      <c r="G7" s="1268">
        <v>6262880360.3999996</v>
      </c>
      <c r="H7" s="1294">
        <v>5419280360.3999996</v>
      </c>
      <c r="I7" s="5">
        <f>H7/G7</f>
        <v>0.86530159424183528</v>
      </c>
      <c r="J7" s="1228">
        <f>'[3]OPKK PO1 i PO3'!AM54</f>
        <v>4240925710.4000001</v>
      </c>
      <c r="K7" s="1270">
        <f t="shared" si="2"/>
        <v>0.67715259854159804</v>
      </c>
      <c r="L7" s="7" t="s">
        <v>2050</v>
      </c>
    </row>
    <row r="8" spans="2:15" ht="15" x14ac:dyDescent="0.25">
      <c r="B8" s="1378"/>
      <c r="C8" s="1379"/>
      <c r="D8" s="62" t="s">
        <v>22</v>
      </c>
      <c r="E8" s="1269" t="s">
        <v>23</v>
      </c>
      <c r="F8" s="1268">
        <f t="shared" si="1"/>
        <v>153883183.28947368</v>
      </c>
      <c r="G8" s="1268">
        <v>1169512193</v>
      </c>
      <c r="H8" s="1294">
        <f>'[3]OPKK PO1 i PO3'!AG55</f>
        <v>1026684382.9299999</v>
      </c>
      <c r="I8" s="5">
        <f t="shared" si="0"/>
        <v>0.87787403079259729</v>
      </c>
      <c r="J8" s="1228">
        <f>'[3]OPKK PO1 i PO3'!AM55</f>
        <v>686174918.8099997</v>
      </c>
      <c r="K8" s="1270">
        <f t="shared" si="2"/>
        <v>0.58671890974462004</v>
      </c>
      <c r="L8" s="6"/>
    </row>
    <row r="9" spans="2:15" ht="30" customHeight="1" x14ac:dyDescent="0.25">
      <c r="B9" s="1378"/>
      <c r="C9" s="1379" t="s">
        <v>24</v>
      </c>
      <c r="D9" s="62" t="s">
        <v>25</v>
      </c>
      <c r="E9" s="1269" t="s">
        <v>26</v>
      </c>
      <c r="F9" s="1268">
        <f t="shared" si="1"/>
        <v>340625724.68947369</v>
      </c>
      <c r="G9" s="1268">
        <v>2588755507.6399999</v>
      </c>
      <c r="H9" s="1294">
        <f>'[3]OPKK PO1 i PO3'!AG56</f>
        <v>2745178926.0813007</v>
      </c>
      <c r="I9" s="5">
        <f t="shared" si="0"/>
        <v>1.0604241760103108</v>
      </c>
      <c r="J9" s="1228">
        <f>'[3]OPKK PO1 i PO3'!AM56</f>
        <v>2165998765.0299997</v>
      </c>
      <c r="K9" s="1270">
        <f t="shared" si="2"/>
        <v>0.83669499056115959</v>
      </c>
      <c r="L9" s="6"/>
    </row>
    <row r="10" spans="2:15" ht="15.75" thickBot="1" x14ac:dyDescent="0.3">
      <c r="B10" s="1378"/>
      <c r="C10" s="1380"/>
      <c r="D10" s="399" t="s">
        <v>27</v>
      </c>
      <c r="E10" s="400" t="s">
        <v>28</v>
      </c>
      <c r="F10" s="8">
        <f t="shared" si="1"/>
        <v>91201618.336842105</v>
      </c>
      <c r="G10" s="1268">
        <v>693132299.36000001</v>
      </c>
      <c r="H10" s="1228">
        <f>'[3]OPKK PO1 i PO3'!AG57</f>
        <v>666419705.63</v>
      </c>
      <c r="I10" s="9">
        <f t="shared" si="0"/>
        <v>0.96146104610236038</v>
      </c>
      <c r="J10" s="1228">
        <f>'[3]OPKK PO1 i PO3'!AM57</f>
        <v>305109761.58999997</v>
      </c>
      <c r="K10" s="1289">
        <f t="shared" si="2"/>
        <v>0.44018979042200373</v>
      </c>
      <c r="L10" s="6"/>
    </row>
    <row r="11" spans="2:15" ht="15.75" thickBot="1" x14ac:dyDescent="0.3">
      <c r="B11" s="1212"/>
      <c r="C11" s="10" t="s">
        <v>29</v>
      </c>
      <c r="D11" s="1213"/>
      <c r="E11" s="11" t="s">
        <v>30</v>
      </c>
      <c r="F11" s="12">
        <f>SUM(F5:F10)</f>
        <v>1719645048.4727373</v>
      </c>
      <c r="G11" s="13">
        <f>SUM(G5:G10)</f>
        <v>13069302368.392803</v>
      </c>
      <c r="H11" s="13">
        <f>SUM(H5:H10)</f>
        <v>12103414135.6213</v>
      </c>
      <c r="I11" s="14">
        <f>H11/G11</f>
        <v>0.92609488972361398</v>
      </c>
      <c r="J11" s="13">
        <f>SUM(J5:J10)</f>
        <v>8142015565.9299994</v>
      </c>
      <c r="K11" s="15">
        <f>J11/G11</f>
        <v>0.62298777214160228</v>
      </c>
      <c r="L11" s="1194"/>
    </row>
    <row r="12" spans="2:15" s="23" customFormat="1" ht="30" x14ac:dyDescent="0.25">
      <c r="B12" s="1387" t="s">
        <v>31</v>
      </c>
      <c r="C12" s="1388" t="s">
        <v>32</v>
      </c>
      <c r="D12" s="1267" t="s">
        <v>33</v>
      </c>
      <c r="E12" s="1267" t="s">
        <v>34</v>
      </c>
      <c r="F12" s="16">
        <v>60000000</v>
      </c>
      <c r="G12" s="16">
        <f>F12*7.6</f>
        <v>456000000</v>
      </c>
      <c r="H12" s="16">
        <f>303730303.57</f>
        <v>303730303.56999999</v>
      </c>
      <c r="I12" s="17">
        <f t="shared" ref="I12:I18" si="3">H12/G12</f>
        <v>0.66607522712719291</v>
      </c>
      <c r="J12" s="1331">
        <v>226475388.07000002</v>
      </c>
      <c r="K12" s="1313">
        <f t="shared" ref="K12:K18" si="4">J12/G12</f>
        <v>0.49665655278508775</v>
      </c>
      <c r="L12" s="7"/>
      <c r="N12" s="21"/>
      <c r="O12" s="21"/>
    </row>
    <row r="13" spans="2:15" s="23" customFormat="1" ht="30" x14ac:dyDescent="0.25">
      <c r="B13" s="1388"/>
      <c r="C13" s="1388"/>
      <c r="D13" s="18" t="s">
        <v>35</v>
      </c>
      <c r="E13" s="18" t="s">
        <v>36</v>
      </c>
      <c r="F13" s="1268">
        <v>40000000</v>
      </c>
      <c r="G13" s="1268">
        <f>F13*7.6</f>
        <v>304000000</v>
      </c>
      <c r="H13" s="19">
        <f>191604869.6</f>
        <v>191604869.59999999</v>
      </c>
      <c r="I13" s="5">
        <f t="shared" si="3"/>
        <v>0.63027917631578945</v>
      </c>
      <c r="J13" s="1228">
        <v>109172189.37999997</v>
      </c>
      <c r="K13" s="1229">
        <f t="shared" si="4"/>
        <v>0.35911904401315781</v>
      </c>
      <c r="L13" s="7"/>
      <c r="N13" s="20"/>
    </row>
    <row r="14" spans="2:15" s="23" customFormat="1" ht="63.75" x14ac:dyDescent="0.25">
      <c r="B14" s="1388"/>
      <c r="C14" s="1389"/>
      <c r="D14" s="18" t="s">
        <v>37</v>
      </c>
      <c r="E14" s="18" t="s">
        <v>38</v>
      </c>
      <c r="F14" s="1268">
        <v>20000000</v>
      </c>
      <c r="G14" s="1268">
        <f>F14*7.6</f>
        <v>152000000</v>
      </c>
      <c r="H14" s="1268">
        <v>152000000</v>
      </c>
      <c r="I14" s="5">
        <f t="shared" si="3"/>
        <v>1</v>
      </c>
      <c r="J14" s="1268">
        <f>38000000+38000000</f>
        <v>76000000</v>
      </c>
      <c r="K14" s="1270">
        <f t="shared" si="4"/>
        <v>0.5</v>
      </c>
      <c r="L14" s="7" t="s">
        <v>2083</v>
      </c>
      <c r="N14" s="21"/>
      <c r="O14" s="21"/>
    </row>
    <row r="15" spans="2:15" s="23" customFormat="1" ht="30" x14ac:dyDescent="0.25">
      <c r="B15" s="1389"/>
      <c r="C15" s="1265" t="s">
        <v>39</v>
      </c>
      <c r="D15" s="18" t="s">
        <v>40</v>
      </c>
      <c r="E15" s="18" t="s">
        <v>41</v>
      </c>
      <c r="F15" s="1268">
        <v>20000000</v>
      </c>
      <c r="G15" s="1268">
        <f>F15*7.6</f>
        <v>152000000</v>
      </c>
      <c r="H15" s="1268">
        <v>149950132.74000001</v>
      </c>
      <c r="I15" s="5">
        <f t="shared" si="3"/>
        <v>0.98651403118421055</v>
      </c>
      <c r="J15" s="22">
        <f>56873.6+41329.83+28778.56+22174.22+30805.13+15447.43+49686.59+87875.96</f>
        <v>332971.32</v>
      </c>
      <c r="K15" s="1270">
        <f t="shared" si="4"/>
        <v>2.1906007894736844E-3</v>
      </c>
      <c r="L15" s="6"/>
    </row>
    <row r="16" spans="2:15" s="23" customFormat="1" ht="30" x14ac:dyDescent="0.25">
      <c r="B16" s="1387" t="s">
        <v>42</v>
      </c>
      <c r="C16" s="1265" t="s">
        <v>43</v>
      </c>
      <c r="D16" s="18" t="s">
        <v>44</v>
      </c>
      <c r="E16" s="18" t="s">
        <v>45</v>
      </c>
      <c r="F16" s="1268">
        <v>30396147</v>
      </c>
      <c r="G16" s="1268">
        <f>F16*7.6</f>
        <v>231010717.19999999</v>
      </c>
      <c r="H16" s="1268">
        <f>'[4]5a1'!E36</f>
        <v>361349664.63999999</v>
      </c>
      <c r="I16" s="1270">
        <f t="shared" si="3"/>
        <v>1.5642116912141253</v>
      </c>
      <c r="J16" s="1268">
        <v>38483680.210000001</v>
      </c>
      <c r="K16" s="1270">
        <f t="shared" si="4"/>
        <v>0.16658828939387407</v>
      </c>
      <c r="L16" s="6"/>
    </row>
    <row r="17" spans="2:15" s="23" customFormat="1" ht="15" x14ac:dyDescent="0.25">
      <c r="B17" s="1389"/>
      <c r="C17" s="24"/>
      <c r="D17" s="1266" t="s">
        <v>46</v>
      </c>
      <c r="E17" s="1266" t="s">
        <v>47</v>
      </c>
      <c r="F17" s="1268">
        <v>178735481</v>
      </c>
      <c r="G17" s="1268">
        <f t="shared" ref="G17" si="5">F17*7.6</f>
        <v>1358389655.5999999</v>
      </c>
      <c r="H17" s="1268">
        <v>1228500147.4000001</v>
      </c>
      <c r="I17" s="1270">
        <f t="shared" si="3"/>
        <v>0.90437978700402599</v>
      </c>
      <c r="J17" s="1228">
        <v>318569075.40999997</v>
      </c>
      <c r="K17" s="1229">
        <f t="shared" si="4"/>
        <v>0.23451965648935114</v>
      </c>
      <c r="L17" s="6" t="s">
        <v>48</v>
      </c>
    </row>
    <row r="18" spans="2:15" s="23" customFormat="1" ht="60" x14ac:dyDescent="0.25">
      <c r="B18" s="1387" t="s">
        <v>49</v>
      </c>
      <c r="C18" s="1265" t="s">
        <v>50</v>
      </c>
      <c r="D18" s="25" t="s">
        <v>51</v>
      </c>
      <c r="E18" s="18" t="s">
        <v>52</v>
      </c>
      <c r="F18" s="1268">
        <v>20000000</v>
      </c>
      <c r="G18" s="1268">
        <f>F18*7.6</f>
        <v>152000000</v>
      </c>
      <c r="H18" s="1268">
        <v>154804975</v>
      </c>
      <c r="I18" s="1270">
        <f t="shared" si="3"/>
        <v>1.0184537828947369</v>
      </c>
      <c r="J18" s="26">
        <v>48584080.100000001</v>
      </c>
      <c r="K18" s="1270">
        <f t="shared" si="4"/>
        <v>0.31963210592105262</v>
      </c>
      <c r="L18" s="6"/>
    </row>
    <row r="19" spans="2:15" s="23" customFormat="1" ht="76.5" customHeight="1" x14ac:dyDescent="0.25">
      <c r="B19" s="1388"/>
      <c r="C19" s="1265" t="s">
        <v>53</v>
      </c>
      <c r="D19" s="18" t="s">
        <v>54</v>
      </c>
      <c r="E19" s="18" t="s">
        <v>55</v>
      </c>
      <c r="F19" s="1268">
        <f>376039587.04-100000000</f>
        <v>276039587.04000002</v>
      </c>
      <c r="G19" s="1268">
        <v>2097900861</v>
      </c>
      <c r="H19" s="1228">
        <v>3868174384.6199999</v>
      </c>
      <c r="I19" s="1229">
        <f>H19/G19</f>
        <v>1.8438308771064469</v>
      </c>
      <c r="J19" s="1228">
        <v>801602328.75000036</v>
      </c>
      <c r="K19" s="1229">
        <f>J19/G19</f>
        <v>0.38209733531826812</v>
      </c>
      <c r="L19" s="35" t="s">
        <v>1197</v>
      </c>
      <c r="M19" s="27"/>
    </row>
    <row r="20" spans="2:15" s="23" customFormat="1" ht="71.25" customHeight="1" x14ac:dyDescent="0.25">
      <c r="B20" s="1388"/>
      <c r="C20" s="1386" t="s">
        <v>56</v>
      </c>
      <c r="D20" s="18" t="s">
        <v>57</v>
      </c>
      <c r="E20" s="18" t="s">
        <v>58</v>
      </c>
      <c r="F20" s="1376">
        <v>849340216</v>
      </c>
      <c r="G20" s="1376">
        <f t="shared" ref="G20" si="6">F20*7.6</f>
        <v>6454985641.5999994</v>
      </c>
      <c r="H20" s="1376">
        <v>14143419840.77</v>
      </c>
      <c r="I20" s="1381">
        <f t="shared" ref="I20" si="7">H20/G20</f>
        <v>2.1910846322601993</v>
      </c>
      <c r="J20" s="1382">
        <v>2382916824.3599997</v>
      </c>
      <c r="K20" s="1384">
        <f>J20/G20</f>
        <v>0.36915912082018904</v>
      </c>
      <c r="L20" s="1256" t="s">
        <v>2130</v>
      </c>
    </row>
    <row r="21" spans="2:15" s="23" customFormat="1" ht="78.75" customHeight="1" x14ac:dyDescent="0.25">
      <c r="B21" s="1388"/>
      <c r="C21" s="1386"/>
      <c r="D21" s="18" t="s">
        <v>59</v>
      </c>
      <c r="E21" s="18" t="s">
        <v>60</v>
      </c>
      <c r="F21" s="1376"/>
      <c r="G21" s="1376"/>
      <c r="H21" s="1376"/>
      <c r="I21" s="1381"/>
      <c r="J21" s="1383"/>
      <c r="K21" s="1385"/>
      <c r="L21" s="1257" t="s">
        <v>2131</v>
      </c>
    </row>
    <row r="22" spans="2:15" s="23" customFormat="1" ht="30" x14ac:dyDescent="0.25">
      <c r="B22" s="1388"/>
      <c r="C22" s="1386" t="s">
        <v>61</v>
      </c>
      <c r="D22" s="18" t="s">
        <v>62</v>
      </c>
      <c r="E22" s="18" t="s">
        <v>63</v>
      </c>
      <c r="F22" s="1268">
        <v>21000000</v>
      </c>
      <c r="G22" s="1268">
        <f>F22*7.6</f>
        <v>159600000</v>
      </c>
      <c r="H22" s="1268">
        <v>159174192.24000001</v>
      </c>
      <c r="I22" s="1270">
        <f>H22/G22</f>
        <v>0.99733203157894745</v>
      </c>
      <c r="J22" s="1228">
        <v>10299911.279999999</v>
      </c>
      <c r="K22" s="1229">
        <f>J22/G22</f>
        <v>6.4535784962406015E-2</v>
      </c>
      <c r="L22" s="7"/>
      <c r="O22" s="1214"/>
    </row>
    <row r="23" spans="2:15" s="23" customFormat="1" ht="30" x14ac:dyDescent="0.25">
      <c r="B23" s="1388"/>
      <c r="C23" s="1386"/>
      <c r="D23" s="18" t="s">
        <v>64</v>
      </c>
      <c r="E23" s="18" t="s">
        <v>65</v>
      </c>
      <c r="F23" s="1268">
        <v>54000000</v>
      </c>
      <c r="G23" s="1268">
        <f>F23*7.6</f>
        <v>410400000</v>
      </c>
      <c r="H23" s="1268">
        <v>228643958.13999999</v>
      </c>
      <c r="I23" s="1270">
        <f>H23/G23</f>
        <v>0.55712465433723191</v>
      </c>
      <c r="J23" s="1268">
        <v>24701613.649999999</v>
      </c>
      <c r="K23" s="1270">
        <f>J23/G23</f>
        <v>6.0189117080896685E-2</v>
      </c>
      <c r="L23" s="6"/>
      <c r="O23" s="21"/>
    </row>
    <row r="24" spans="2:15" s="23" customFormat="1" ht="30" x14ac:dyDescent="0.25">
      <c r="B24" s="1389"/>
      <c r="C24" s="1386"/>
      <c r="D24" s="18" t="s">
        <v>66</v>
      </c>
      <c r="E24" s="18" t="s">
        <v>67</v>
      </c>
      <c r="F24" s="1268">
        <v>50000000</v>
      </c>
      <c r="G24" s="1268">
        <f>F24*7.6</f>
        <v>380000000</v>
      </c>
      <c r="H24" s="1268">
        <v>532847642.81</v>
      </c>
      <c r="I24" s="1270">
        <f>H24/G24</f>
        <v>1.4022306389736843</v>
      </c>
      <c r="J24" s="1228">
        <v>388666969</v>
      </c>
      <c r="K24" s="1229">
        <f>J24/G24</f>
        <v>1.0228078131578948</v>
      </c>
      <c r="L24" s="6"/>
    </row>
    <row r="25" spans="2:15" ht="15.75" thickBot="1" x14ac:dyDescent="0.3">
      <c r="C25" s="30" t="s">
        <v>29</v>
      </c>
      <c r="D25" s="31"/>
      <c r="E25" s="30" t="s">
        <v>68</v>
      </c>
      <c r="F25" s="36">
        <f>SUM(F12:F24)</f>
        <v>1619511431.04</v>
      </c>
      <c r="G25" s="37">
        <f>SUM(G12:G24)</f>
        <v>12308286875.4</v>
      </c>
      <c r="H25" s="1215">
        <f>SUM(H12:H24)</f>
        <v>21474200111.530003</v>
      </c>
      <c r="I25" s="1216">
        <f>H25/G25</f>
        <v>1.7446944752684865</v>
      </c>
      <c r="J25" s="1215">
        <f>SUM(J12:J24)</f>
        <v>4425805031.5300007</v>
      </c>
      <c r="K25" s="1290">
        <f>J25/G25</f>
        <v>0.35957928803037986</v>
      </c>
    </row>
    <row r="26" spans="2:15" ht="16.5" thickBot="1" x14ac:dyDescent="0.3">
      <c r="E26" s="32" t="s">
        <v>69</v>
      </c>
      <c r="F26" s="38">
        <f>F11+F25</f>
        <v>3339156479.5127373</v>
      </c>
      <c r="G26" s="39">
        <f>G11+G25</f>
        <v>25377589243.792801</v>
      </c>
      <c r="H26" s="1217">
        <f>H11+H25</f>
        <v>33577614247.151302</v>
      </c>
      <c r="I26" s="1218">
        <f>H26/G26</f>
        <v>1.3231207237450333</v>
      </c>
      <c r="J26" s="1217">
        <f>J11+J25</f>
        <v>12567820597.459999</v>
      </c>
      <c r="K26" s="1291">
        <f>J26/G26</f>
        <v>0.49523303717802941</v>
      </c>
    </row>
    <row r="27" spans="2:15" x14ac:dyDescent="0.25">
      <c r="F27" s="1219"/>
      <c r="G27" s="33"/>
      <c r="H27" s="33"/>
      <c r="I27" s="34"/>
      <c r="J27" s="33"/>
      <c r="K27" s="34"/>
    </row>
    <row r="28" spans="2:15" x14ac:dyDescent="0.25">
      <c r="H28" s="1220"/>
      <c r="I28" s="1220"/>
      <c r="J28" s="1220"/>
      <c r="K28" s="1220"/>
    </row>
    <row r="29" spans="2:15" x14ac:dyDescent="0.25">
      <c r="J29" s="830"/>
    </row>
    <row r="30" spans="2:15" ht="15.75" x14ac:dyDescent="0.25">
      <c r="F30" s="830"/>
      <c r="J30" s="1221"/>
    </row>
    <row r="31" spans="2:15" x14ac:dyDescent="0.25">
      <c r="J31" s="1220"/>
    </row>
  </sheetData>
  <mergeCells count="18">
    <mergeCell ref="C22:C24"/>
    <mergeCell ref="B12:B15"/>
    <mergeCell ref="C12:C14"/>
    <mergeCell ref="B16:B17"/>
    <mergeCell ref="B18:B24"/>
    <mergeCell ref="C20:C21"/>
    <mergeCell ref="F20:F21"/>
    <mergeCell ref="B2:K2"/>
    <mergeCell ref="B5:B6"/>
    <mergeCell ref="C5:C6"/>
    <mergeCell ref="B7:B10"/>
    <mergeCell ref="C7:C8"/>
    <mergeCell ref="C9:C10"/>
    <mergeCell ref="G20:G21"/>
    <mergeCell ref="H20:H21"/>
    <mergeCell ref="I20:I21"/>
    <mergeCell ref="J20:J21"/>
    <mergeCell ref="K20:K21"/>
  </mergeCells>
  <pageMargins left="0.25" right="0.25" top="0.75" bottom="0.75" header="0.3" footer="0.3"/>
  <pageSetup paperSize="8" scale="59" fitToHeight="0" orientation="landscape" r:id="rId1"/>
  <ignoredErrors>
    <ignoredError sqref="D18" numberStoredAsText="1"/>
    <ignoredError sqref="I25:I26"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topLeftCell="A22" zoomScale="80" zoomScaleNormal="80" workbookViewId="0">
      <selection activeCell="A8" sqref="A8"/>
    </sheetView>
  </sheetViews>
  <sheetFormatPr defaultColWidth="81.42578125" defaultRowHeight="15" x14ac:dyDescent="0.25"/>
  <cols>
    <col min="1" max="1" width="23.85546875" customWidth="1"/>
    <col min="2" max="2" width="35.7109375" customWidth="1"/>
    <col min="3" max="3" width="47.28515625" customWidth="1"/>
    <col min="4" max="4" width="24.42578125" bestFit="1" customWidth="1"/>
    <col min="5" max="5" width="22.85546875" bestFit="1" customWidth="1"/>
    <col min="6" max="6" width="27.7109375" bestFit="1" customWidth="1"/>
    <col min="7" max="7" width="17" customWidth="1"/>
    <col min="8" max="8" width="19.42578125" bestFit="1" customWidth="1"/>
    <col min="9" max="9" width="19" customWidth="1"/>
    <col min="10" max="10" width="18.42578125" customWidth="1"/>
  </cols>
  <sheetData>
    <row r="1" spans="1:10" ht="15.75" x14ac:dyDescent="0.25">
      <c r="A1" s="269" t="s">
        <v>528</v>
      </c>
      <c r="B1" s="270" t="s">
        <v>100</v>
      </c>
      <c r="C1" s="1" t="s">
        <v>2127</v>
      </c>
      <c r="D1" s="271"/>
      <c r="E1" s="271"/>
      <c r="F1" s="272"/>
    </row>
    <row r="2" spans="1:10" ht="15.75" thickBot="1" x14ac:dyDescent="0.3">
      <c r="A2" s="273" t="s">
        <v>101</v>
      </c>
      <c r="B2" s="274">
        <v>231010717.19999999</v>
      </c>
      <c r="C2" s="178"/>
      <c r="D2" s="271"/>
      <c r="E2" s="271"/>
      <c r="F2" s="275"/>
      <c r="G2" s="182"/>
    </row>
    <row r="3" spans="1:10" ht="26.25" thickBot="1" x14ac:dyDescent="0.3">
      <c r="A3" s="276" t="s">
        <v>529</v>
      </c>
      <c r="B3" s="277" t="s">
        <v>104</v>
      </c>
      <c r="C3" s="278" t="s">
        <v>105</v>
      </c>
      <c r="D3" s="279" t="s">
        <v>530</v>
      </c>
      <c r="E3" s="278" t="s">
        <v>531</v>
      </c>
      <c r="F3" s="278" t="s">
        <v>106</v>
      </c>
      <c r="G3" s="280" t="s">
        <v>532</v>
      </c>
      <c r="H3" s="278" t="s">
        <v>9</v>
      </c>
      <c r="I3" s="280" t="s">
        <v>110</v>
      </c>
      <c r="J3" s="280" t="s">
        <v>532</v>
      </c>
    </row>
    <row r="4" spans="1:10" ht="15.75" thickBot="1" x14ac:dyDescent="0.3">
      <c r="A4" s="1510" t="s">
        <v>533</v>
      </c>
      <c r="B4" s="1511"/>
      <c r="C4" s="1511"/>
      <c r="D4" s="1511"/>
      <c r="E4" s="1511"/>
      <c r="F4" s="1511"/>
      <c r="G4" s="1511"/>
      <c r="H4" s="1511"/>
      <c r="I4" s="1511"/>
      <c r="J4" s="1512"/>
    </row>
    <row r="5" spans="1:10" ht="30.75" thickBot="1" x14ac:dyDescent="0.3">
      <c r="A5" s="281" t="s">
        <v>534</v>
      </c>
      <c r="B5" s="282" t="s">
        <v>535</v>
      </c>
      <c r="C5" s="283" t="s">
        <v>536</v>
      </c>
      <c r="D5" s="284" t="s">
        <v>537</v>
      </c>
      <c r="E5" s="285">
        <v>343914506.5</v>
      </c>
      <c r="F5" s="286">
        <v>292327330.51999998</v>
      </c>
      <c r="G5" s="287">
        <f>F5/B2</f>
        <v>1.265427570041759</v>
      </c>
      <c r="H5" s="991">
        <f>1598615.46+431598.61+92841.58+1674955.31+1824222.71+1914642.19+1193152.08+3446682.8+439806.28+169629.19+3199905.98+7477660.21</f>
        <v>23463712.399999999</v>
      </c>
      <c r="I5" s="992">
        <f>H5/F5</f>
        <v>8.0265202566801044E-2</v>
      </c>
      <c r="J5" s="993">
        <f>H5/B2</f>
        <v>0.10156980024301661</v>
      </c>
    </row>
    <row r="6" spans="1:10" s="298" customFormat="1" ht="19.5" thickBot="1" x14ac:dyDescent="0.35">
      <c r="A6" s="288"/>
      <c r="B6" s="289"/>
      <c r="C6" s="290"/>
      <c r="D6" s="291" t="s">
        <v>538</v>
      </c>
      <c r="E6" s="292">
        <v>343914506.5</v>
      </c>
      <c r="F6" s="293">
        <v>292327330.51999998</v>
      </c>
      <c r="G6" s="294">
        <f>F6/B2</f>
        <v>1.265427570041759</v>
      </c>
      <c r="H6" s="295">
        <f>H5</f>
        <v>23463712.399999999</v>
      </c>
      <c r="I6" s="296">
        <f>H6/F6</f>
        <v>8.0265202566801044E-2</v>
      </c>
      <c r="J6" s="297">
        <f>H6/B2</f>
        <v>0.10156980024301661</v>
      </c>
    </row>
    <row r="7" spans="1:10" s="299" customFormat="1" ht="15.75" thickBot="1" x14ac:dyDescent="0.3">
      <c r="A7" s="1513" t="s">
        <v>539</v>
      </c>
      <c r="B7" s="1514"/>
      <c r="C7" s="1514"/>
      <c r="D7" s="1515"/>
      <c r="E7" s="1516"/>
      <c r="F7" s="1515"/>
      <c r="G7" s="1515"/>
      <c r="H7" s="1515"/>
      <c r="I7" s="1515"/>
      <c r="J7" s="1517"/>
    </row>
    <row r="8" spans="1:10" s="305" customFormat="1" ht="30" x14ac:dyDescent="0.25">
      <c r="A8" s="300" t="s">
        <v>540</v>
      </c>
      <c r="B8" s="301" t="s">
        <v>541</v>
      </c>
      <c r="C8" s="301" t="s">
        <v>542</v>
      </c>
      <c r="D8" s="302" t="s">
        <v>543</v>
      </c>
      <c r="E8" s="303">
        <v>3512578.68</v>
      </c>
      <c r="F8" s="303">
        <v>2835744.23</v>
      </c>
      <c r="G8" s="304">
        <f>F8/B2</f>
        <v>1.2275379533776887E-2</v>
      </c>
      <c r="H8" s="303">
        <f>567148.84+20989.26+108810.52</f>
        <v>696948.62</v>
      </c>
      <c r="I8" s="1227">
        <f t="shared" ref="I8" si="0">H8/F8</f>
        <v>0.24577273670411381</v>
      </c>
      <c r="J8" s="1227">
        <f>H8/B2</f>
        <v>3.0169536220980143E-3</v>
      </c>
    </row>
    <row r="9" spans="1:10" s="305" customFormat="1" ht="45" x14ac:dyDescent="0.25">
      <c r="A9" s="306" t="s">
        <v>544</v>
      </c>
      <c r="B9" s="307" t="s">
        <v>545</v>
      </c>
      <c r="C9" s="307" t="s">
        <v>546</v>
      </c>
      <c r="D9" s="308" t="s">
        <v>547</v>
      </c>
      <c r="E9" s="309">
        <v>3369610.69</v>
      </c>
      <c r="F9" s="310">
        <v>2859519.33</v>
      </c>
      <c r="G9" s="311">
        <f>F9/B2</f>
        <v>1.2378297269751086E-2</v>
      </c>
      <c r="H9" s="310">
        <f>74810+118459.79+91844.43+256023.22</f>
        <v>541137.43999999994</v>
      </c>
      <c r="I9" s="312">
        <f>H9/F9</f>
        <v>0.18924070011444893</v>
      </c>
      <c r="J9" s="312">
        <f>H9/B2</f>
        <v>2.3424776415524673E-3</v>
      </c>
    </row>
    <row r="10" spans="1:10" s="305" customFormat="1" ht="60" x14ac:dyDescent="0.25">
      <c r="A10" s="313" t="s">
        <v>548</v>
      </c>
      <c r="B10" s="314" t="s">
        <v>549</v>
      </c>
      <c r="C10" s="314" t="s">
        <v>550</v>
      </c>
      <c r="D10" s="315" t="s">
        <v>551</v>
      </c>
      <c r="E10" s="309">
        <v>3573786.14</v>
      </c>
      <c r="F10" s="310">
        <v>2972829.53</v>
      </c>
      <c r="G10" s="311">
        <f>F10/B2</f>
        <v>1.2868794859531305E-2</v>
      </c>
      <c r="H10" s="310">
        <f>184183.17+215000+232567.62+231391.15</f>
        <v>863141.94000000006</v>
      </c>
      <c r="I10" s="312">
        <f t="shared" ref="I10:I31" si="1">H10/F10</f>
        <v>0.29034357042329301</v>
      </c>
      <c r="J10" s="312">
        <f>H10/B2</f>
        <v>3.7363718465612387E-3</v>
      </c>
    </row>
    <row r="11" spans="1:10" s="305" customFormat="1" ht="30" x14ac:dyDescent="0.25">
      <c r="A11" s="313" t="s">
        <v>552</v>
      </c>
      <c r="B11" s="314" t="s">
        <v>553</v>
      </c>
      <c r="C11" s="314" t="s">
        <v>554</v>
      </c>
      <c r="D11" s="315" t="s">
        <v>555</v>
      </c>
      <c r="E11" s="309">
        <v>2997198.45</v>
      </c>
      <c r="F11" s="310">
        <v>2467518.8199999998</v>
      </c>
      <c r="G11" s="311">
        <f>F11/B2</f>
        <v>1.0681404092017597E-2</v>
      </c>
      <c r="H11" s="310">
        <f>493503.76+54603.11+142186.41</f>
        <v>690293.28</v>
      </c>
      <c r="I11" s="312">
        <f t="shared" si="1"/>
        <v>0.27975198179035576</v>
      </c>
      <c r="J11" s="312">
        <f>H11/B2</f>
        <v>2.9881439630455382E-3</v>
      </c>
    </row>
    <row r="12" spans="1:10" s="305" customFormat="1" ht="45" x14ac:dyDescent="0.25">
      <c r="A12" s="316" t="s">
        <v>556</v>
      </c>
      <c r="B12" s="28" t="s">
        <v>557</v>
      </c>
      <c r="C12" s="28" t="s">
        <v>558</v>
      </c>
      <c r="D12" s="317" t="s">
        <v>559</v>
      </c>
      <c r="E12" s="309">
        <v>3451022.48</v>
      </c>
      <c r="F12" s="310">
        <v>2843939.65</v>
      </c>
      <c r="G12" s="311">
        <f>F12/B2</f>
        <v>1.2310855896515956E-2</v>
      </c>
      <c r="H12" s="310">
        <f>74464.32+568787.93+599344.17+88563.26</f>
        <v>1331159.68</v>
      </c>
      <c r="I12" s="312">
        <f t="shared" si="1"/>
        <v>0.4680688916869245</v>
      </c>
      <c r="J12" s="312">
        <f>H12/B2</f>
        <v>5.7623286751996633E-3</v>
      </c>
    </row>
    <row r="13" spans="1:10" s="305" customFormat="1" ht="45" x14ac:dyDescent="0.25">
      <c r="A13" s="313" t="s">
        <v>560</v>
      </c>
      <c r="B13" s="314" t="s">
        <v>561</v>
      </c>
      <c r="C13" s="314" t="s">
        <v>562</v>
      </c>
      <c r="D13" s="315" t="s">
        <v>563</v>
      </c>
      <c r="E13" s="309">
        <v>3403871.48</v>
      </c>
      <c r="F13" s="310">
        <v>2820839.93</v>
      </c>
      <c r="G13" s="311">
        <f>F13/B2</f>
        <v>1.2210861747846217E-2</v>
      </c>
      <c r="H13" s="310">
        <f>70013.87+250257.1+338405.55</f>
        <v>658676.52</v>
      </c>
      <c r="I13" s="312">
        <f t="shared" si="1"/>
        <v>0.23350368554943135</v>
      </c>
      <c r="J13" s="312">
        <f>H13/B2</f>
        <v>2.851281221856663E-3</v>
      </c>
    </row>
    <row r="14" spans="1:10" s="305" customFormat="1" ht="30" x14ac:dyDescent="0.25">
      <c r="A14" s="313" t="s">
        <v>564</v>
      </c>
      <c r="B14" s="314" t="s">
        <v>565</v>
      </c>
      <c r="C14" s="314" t="s">
        <v>566</v>
      </c>
      <c r="D14" s="315" t="s">
        <v>567</v>
      </c>
      <c r="E14" s="309">
        <v>3529396.52</v>
      </c>
      <c r="F14" s="310">
        <v>2860294.99</v>
      </c>
      <c r="G14" s="311">
        <f>F14/B2</f>
        <v>1.2381654949470026E-2</v>
      </c>
      <c r="H14" s="309">
        <f>572058+34258.22+42759.75+43393.93</f>
        <v>692469.9</v>
      </c>
      <c r="I14" s="312">
        <f t="shared" si="1"/>
        <v>0.24209737192176811</v>
      </c>
      <c r="J14" s="312">
        <f>H14/B2</f>
        <v>2.9975661233088455E-3</v>
      </c>
    </row>
    <row r="15" spans="1:10" s="305" customFormat="1" ht="45" x14ac:dyDescent="0.25">
      <c r="A15" s="313" t="s">
        <v>568</v>
      </c>
      <c r="B15" s="314" t="s">
        <v>569</v>
      </c>
      <c r="C15" s="314" t="s">
        <v>570</v>
      </c>
      <c r="D15" s="315" t="s">
        <v>571</v>
      </c>
      <c r="E15" s="309">
        <v>3150324.95</v>
      </c>
      <c r="F15" s="310">
        <v>2615518.64</v>
      </c>
      <c r="G15" s="311">
        <f>F15/B2</f>
        <v>1.1322066230094368E-2</v>
      </c>
      <c r="H15" s="310">
        <f>523103.72+114817.52</f>
        <v>637921.24</v>
      </c>
      <c r="I15" s="312">
        <f t="shared" si="1"/>
        <v>0.24389856384277192</v>
      </c>
      <c r="J15" s="312">
        <f>H15/B2</f>
        <v>2.7614356932527634E-3</v>
      </c>
    </row>
    <row r="16" spans="1:10" s="305" customFormat="1" ht="30" x14ac:dyDescent="0.25">
      <c r="A16" s="313" t="s">
        <v>572</v>
      </c>
      <c r="B16" s="314" t="s">
        <v>573</v>
      </c>
      <c r="C16" s="314" t="s">
        <v>574</v>
      </c>
      <c r="D16" s="315" t="s">
        <v>575</v>
      </c>
      <c r="E16" s="309">
        <v>2992930.39</v>
      </c>
      <c r="F16" s="310">
        <v>2483844.81</v>
      </c>
      <c r="G16" s="311">
        <f>F16/B2</f>
        <v>1.0752076094589088E-2</v>
      </c>
      <c r="H16" s="310">
        <f>490000+107880.23+111634.44</f>
        <v>709514.66999999993</v>
      </c>
      <c r="I16" s="312">
        <f t="shared" si="1"/>
        <v>0.28565177145668769</v>
      </c>
      <c r="J16" s="312">
        <f>H16/B2</f>
        <v>3.0713495832564775E-3</v>
      </c>
    </row>
    <row r="17" spans="1:10" s="305" customFormat="1" ht="30" x14ac:dyDescent="0.25">
      <c r="A17" s="313" t="s">
        <v>576</v>
      </c>
      <c r="B17" s="314" t="s">
        <v>577</v>
      </c>
      <c r="C17" s="314" t="s">
        <v>578</v>
      </c>
      <c r="D17" s="315" t="s">
        <v>579</v>
      </c>
      <c r="E17" s="309">
        <v>2997725.85</v>
      </c>
      <c r="F17" s="310">
        <v>2425366.19</v>
      </c>
      <c r="G17" s="311">
        <f>F17/B2</f>
        <v>1.0498933639949758E-2</v>
      </c>
      <c r="H17" s="310">
        <f>31733.83+50989.33+93240.73+81693.83+80188.41</f>
        <v>337846.13</v>
      </c>
      <c r="I17" s="312">
        <f t="shared" si="1"/>
        <v>0.13929695705043205</v>
      </c>
      <c r="J17" s="312">
        <f>H17/B2</f>
        <v>1.4624695083194177E-3</v>
      </c>
    </row>
    <row r="18" spans="1:10" s="305" customFormat="1" ht="30" x14ac:dyDescent="0.25">
      <c r="A18" s="313" t="s">
        <v>580</v>
      </c>
      <c r="B18" s="314" t="s">
        <v>581</v>
      </c>
      <c r="C18" s="314" t="s">
        <v>582</v>
      </c>
      <c r="D18" s="315" t="s">
        <v>571</v>
      </c>
      <c r="E18" s="309">
        <v>3422948.07</v>
      </c>
      <c r="F18" s="310">
        <v>2870821.65</v>
      </c>
      <c r="G18" s="311">
        <f>F18/B2</f>
        <v>1.2427222792068801E-2</v>
      </c>
      <c r="H18" s="310">
        <f>574164.33+89743.59</f>
        <v>663907.91999999993</v>
      </c>
      <c r="I18" s="312">
        <f t="shared" si="1"/>
        <v>0.23126059398360743</v>
      </c>
      <c r="J18" s="312">
        <f>H18/B2</f>
        <v>2.873926924460455E-3</v>
      </c>
    </row>
    <row r="19" spans="1:10" s="305" customFormat="1" ht="30" x14ac:dyDescent="0.25">
      <c r="A19" s="318" t="s">
        <v>583</v>
      </c>
      <c r="B19" s="319" t="s">
        <v>584</v>
      </c>
      <c r="C19" s="319" t="s">
        <v>585</v>
      </c>
      <c r="D19" s="320" t="s">
        <v>586</v>
      </c>
      <c r="E19" s="309">
        <v>3419088.34</v>
      </c>
      <c r="F19" s="309">
        <v>2723062.13</v>
      </c>
      <c r="G19" s="321">
        <f>F19/B2</f>
        <v>1.1787600865471882E-2</v>
      </c>
      <c r="H19" s="309">
        <f>544612.42+31652.29+76837.39</f>
        <v>653102.10000000009</v>
      </c>
      <c r="I19" s="312">
        <f t="shared" si="1"/>
        <v>0.23984105717044368</v>
      </c>
      <c r="J19" s="312">
        <f>H19/B2</f>
        <v>2.8271506530780127E-3</v>
      </c>
    </row>
    <row r="20" spans="1:10" s="305" customFormat="1" ht="30" x14ac:dyDescent="0.25">
      <c r="A20" s="313" t="s">
        <v>587</v>
      </c>
      <c r="B20" s="314" t="s">
        <v>588</v>
      </c>
      <c r="C20" s="314" t="s">
        <v>589</v>
      </c>
      <c r="D20" s="315" t="s">
        <v>590</v>
      </c>
      <c r="E20" s="309">
        <v>3529090.36</v>
      </c>
      <c r="F20" s="310">
        <v>2945414.91</v>
      </c>
      <c r="G20" s="311">
        <f>F20/B2</f>
        <v>1.275012235666095E-2</v>
      </c>
      <c r="H20" s="310">
        <f>589082.98+63125.71</f>
        <v>652208.68999999994</v>
      </c>
      <c r="I20" s="312">
        <f t="shared" si="1"/>
        <v>0.22143185592823658</v>
      </c>
      <c r="J20" s="312">
        <f>H20/B2</f>
        <v>2.8232832567475358E-3</v>
      </c>
    </row>
    <row r="21" spans="1:10" s="305" customFormat="1" ht="30" x14ac:dyDescent="0.25">
      <c r="A21" s="313" t="s">
        <v>591</v>
      </c>
      <c r="B21" s="314" t="s">
        <v>592</v>
      </c>
      <c r="C21" s="314" t="s">
        <v>593</v>
      </c>
      <c r="D21" s="322" t="s">
        <v>594</v>
      </c>
      <c r="E21" s="309">
        <v>3456517.81</v>
      </c>
      <c r="F21" s="323">
        <v>2888573.93</v>
      </c>
      <c r="G21" s="324">
        <f>F21/B2</f>
        <v>1.2504068923777189E-2</v>
      </c>
      <c r="H21" s="310">
        <f>577714.78+141991.88</f>
        <v>719706.66</v>
      </c>
      <c r="I21" s="312">
        <f t="shared" si="1"/>
        <v>0.24915639254557698</v>
      </c>
      <c r="J21" s="325">
        <f>H21/B2</f>
        <v>3.1154687051895792E-3</v>
      </c>
    </row>
    <row r="22" spans="1:10" s="305" customFormat="1" ht="45" x14ac:dyDescent="0.25">
      <c r="A22" s="316" t="s">
        <v>595</v>
      </c>
      <c r="B22" s="28" t="s">
        <v>596</v>
      </c>
      <c r="C22" s="28" t="s">
        <v>597</v>
      </c>
      <c r="D22" s="320" t="s">
        <v>598</v>
      </c>
      <c r="E22" s="309">
        <v>2984039.24</v>
      </c>
      <c r="F22" s="323">
        <v>2282722.09</v>
      </c>
      <c r="G22" s="324">
        <f>F22/B2</f>
        <v>9.8814553613272797E-3</v>
      </c>
      <c r="H22" s="323">
        <f>456544.41+62145.2</f>
        <v>518689.61</v>
      </c>
      <c r="I22" s="312">
        <f t="shared" si="1"/>
        <v>0.22722416025684494</v>
      </c>
      <c r="J22" s="325">
        <f>H22/B2</f>
        <v>2.2453053965930895E-3</v>
      </c>
    </row>
    <row r="23" spans="1:10" s="305" customFormat="1" ht="45" x14ac:dyDescent="0.25">
      <c r="A23" s="316" t="s">
        <v>599</v>
      </c>
      <c r="B23" s="28" t="s">
        <v>600</v>
      </c>
      <c r="C23" s="28" t="s">
        <v>601</v>
      </c>
      <c r="D23" s="320" t="s">
        <v>602</v>
      </c>
      <c r="E23" s="309">
        <v>3442248.77</v>
      </c>
      <c r="F23" s="323">
        <v>2835902.96</v>
      </c>
      <c r="G23" s="324">
        <f>F23/B2</f>
        <v>1.2276066644755649E-2</v>
      </c>
      <c r="H23" s="323">
        <f>53469.84+2845.1+51142.34+2438.65+125929.41+8738.56</f>
        <v>244563.9</v>
      </c>
      <c r="I23" s="312">
        <f>H23/F23</f>
        <v>8.6238458596622783E-2</v>
      </c>
      <c r="J23" s="325">
        <f>H23/B2</f>
        <v>1.0586690650731421E-3</v>
      </c>
    </row>
    <row r="24" spans="1:10" s="326" customFormat="1" ht="30" x14ac:dyDescent="0.25">
      <c r="A24" s="316" t="s">
        <v>603</v>
      </c>
      <c r="B24" s="28" t="s">
        <v>604</v>
      </c>
      <c r="C24" s="28" t="s">
        <v>605</v>
      </c>
      <c r="D24" s="320" t="s">
        <v>606</v>
      </c>
      <c r="E24" s="309">
        <v>3519307.07</v>
      </c>
      <c r="F24" s="323">
        <v>2972390.27</v>
      </c>
      <c r="G24" s="324">
        <f>F24/B2</f>
        <v>1.2866893389308088E-2</v>
      </c>
      <c r="H24" s="323">
        <f>245000+141505.59+147487.36</f>
        <v>533992.94999999995</v>
      </c>
      <c r="I24" s="312">
        <f t="shared" si="1"/>
        <v>0.17965102207120331</v>
      </c>
      <c r="J24" s="325">
        <f>H24/B2</f>
        <v>2.3115505482704073E-3</v>
      </c>
    </row>
    <row r="25" spans="1:10" s="326" customFormat="1" ht="19.5" customHeight="1" x14ac:dyDescent="0.25">
      <c r="A25" s="316" t="s">
        <v>607</v>
      </c>
      <c r="B25" s="28" t="s">
        <v>608</v>
      </c>
      <c r="C25" s="28" t="s">
        <v>609</v>
      </c>
      <c r="D25" s="320" t="s">
        <v>610</v>
      </c>
      <c r="E25" s="309">
        <v>3106860.44</v>
      </c>
      <c r="F25" s="323">
        <v>2623708.11</v>
      </c>
      <c r="G25" s="324">
        <f>F25/B2</f>
        <v>1.1357516836452643E-2</v>
      </c>
      <c r="H25" s="323">
        <f>32208.44+104372.35+63218.75+142341.64+25891.74+35861.66+40487.42+88972.3</f>
        <v>533354.30000000005</v>
      </c>
      <c r="I25" s="312">
        <f t="shared" si="1"/>
        <v>0.20328263573496369</v>
      </c>
      <c r="J25" s="325">
        <f>H25/B2</f>
        <v>2.3087859579183196E-3</v>
      </c>
    </row>
    <row r="26" spans="1:10" s="326" customFormat="1" ht="30" x14ac:dyDescent="0.25">
      <c r="A26" s="316" t="s">
        <v>611</v>
      </c>
      <c r="B26" s="28" t="s">
        <v>612</v>
      </c>
      <c r="C26" s="28" t="s">
        <v>613</v>
      </c>
      <c r="D26" s="320" t="s">
        <v>614</v>
      </c>
      <c r="E26" s="309">
        <v>3113833.96</v>
      </c>
      <c r="F26" s="323">
        <v>2565397.4500000002</v>
      </c>
      <c r="G26" s="324">
        <f>F26/B2</f>
        <v>1.1105101447648336E-2</v>
      </c>
      <c r="H26" s="323">
        <f>513079.49+51040+88358.04+51482.54+85277.88</f>
        <v>789237.95000000007</v>
      </c>
      <c r="I26" s="312">
        <f t="shared" si="1"/>
        <v>0.3076474368523287</v>
      </c>
      <c r="J26" s="325">
        <f>H26/B2</f>
        <v>3.4164559963540952E-3</v>
      </c>
    </row>
    <row r="27" spans="1:10" s="326" customFormat="1" ht="45" x14ac:dyDescent="0.25">
      <c r="A27" s="316" t="s">
        <v>615</v>
      </c>
      <c r="B27" s="28" t="s">
        <v>616</v>
      </c>
      <c r="C27" s="28" t="s">
        <v>617</v>
      </c>
      <c r="D27" s="320" t="s">
        <v>618</v>
      </c>
      <c r="E27" s="309">
        <v>2976004.01</v>
      </c>
      <c r="F27" s="323">
        <v>2527338.4</v>
      </c>
      <c r="G27" s="324">
        <f>F27/B2</f>
        <v>1.0940351298991595E-2</v>
      </c>
      <c r="H27" s="323">
        <f>75220.5+78408.21</f>
        <v>153628.71000000002</v>
      </c>
      <c r="I27" s="312">
        <f>H27/F27</f>
        <v>6.0786758908106656E-2</v>
      </c>
      <c r="J27" s="325">
        <f>H27/B2</f>
        <v>6.6502849678179356E-4</v>
      </c>
    </row>
    <row r="28" spans="1:10" s="326" customFormat="1" ht="45" x14ac:dyDescent="0.25">
      <c r="A28" s="327" t="s">
        <v>619</v>
      </c>
      <c r="B28" s="328" t="s">
        <v>620</v>
      </c>
      <c r="C28" s="328" t="s">
        <v>621</v>
      </c>
      <c r="D28" s="320" t="s">
        <v>586</v>
      </c>
      <c r="E28" s="309">
        <v>3529070.32</v>
      </c>
      <c r="F28" s="323">
        <v>2829396.42</v>
      </c>
      <c r="G28" s="324">
        <f>F28/B2</f>
        <v>1.2247901111663229E-2</v>
      </c>
      <c r="H28" s="323">
        <v>565879.28</v>
      </c>
      <c r="I28" s="312">
        <f t="shared" si="1"/>
        <v>0.19999999858627093</v>
      </c>
      <c r="J28" s="325">
        <f>H28/B2</f>
        <v>2.4495802050174321E-3</v>
      </c>
    </row>
    <row r="29" spans="1:10" s="326" customFormat="1" ht="60" x14ac:dyDescent="0.25">
      <c r="A29" s="316" t="s">
        <v>622</v>
      </c>
      <c r="B29" s="319" t="s">
        <v>623</v>
      </c>
      <c r="C29" s="319" t="s">
        <v>624</v>
      </c>
      <c r="D29" s="320" t="s">
        <v>625</v>
      </c>
      <c r="E29" s="309">
        <v>3522803.38</v>
      </c>
      <c r="F29" s="323">
        <v>2963918.3</v>
      </c>
      <c r="G29" s="324">
        <f>F29/B2</f>
        <v>1.2830219895962471E-2</v>
      </c>
      <c r="H29" s="323">
        <f>11143.49+418213.96+7194+16734.51+23525.28+57291.33+67385.02</f>
        <v>601487.59</v>
      </c>
      <c r="I29" s="312">
        <f>H29/F29</f>
        <v>0.20293662952855346</v>
      </c>
      <c r="J29" s="325">
        <f>H29/B2</f>
        <v>2.6037215817968119E-3</v>
      </c>
    </row>
    <row r="30" spans="1:10" s="326" customFormat="1" ht="45" x14ac:dyDescent="0.25">
      <c r="A30" s="316" t="s">
        <v>626</v>
      </c>
      <c r="B30" s="28" t="s">
        <v>627</v>
      </c>
      <c r="C30" s="28" t="s">
        <v>628</v>
      </c>
      <c r="D30" s="320" t="s">
        <v>586</v>
      </c>
      <c r="E30" s="309">
        <v>3442210.68</v>
      </c>
      <c r="F30" s="323">
        <v>2923425.05</v>
      </c>
      <c r="G30" s="324">
        <v>1.2654932573838181E-2</v>
      </c>
      <c r="H30" s="323">
        <f>584685.01+41544.8+70193.93</f>
        <v>696423.74</v>
      </c>
      <c r="I30" s="312">
        <f t="shared" si="1"/>
        <v>0.23822185555945757</v>
      </c>
      <c r="J30" s="325">
        <f>H30/B2</f>
        <v>3.0146815197195538E-3</v>
      </c>
    </row>
    <row r="31" spans="1:10" s="326" customFormat="1" ht="30" x14ac:dyDescent="0.25">
      <c r="A31" s="316" t="s">
        <v>629</v>
      </c>
      <c r="B31" s="319" t="s">
        <v>630</v>
      </c>
      <c r="C31" s="319" t="s">
        <v>631</v>
      </c>
      <c r="D31" s="320" t="s">
        <v>586</v>
      </c>
      <c r="E31" s="309">
        <v>3529172.57</v>
      </c>
      <c r="F31" s="323">
        <v>2946000.75</v>
      </c>
      <c r="G31" s="324">
        <f>F31/B2</f>
        <v>1.2752658342900465E-2</v>
      </c>
      <c r="H31" s="323">
        <f>56294.4+345013.55</f>
        <v>401307.95</v>
      </c>
      <c r="I31" s="312">
        <f t="shared" si="1"/>
        <v>0.13622126538834045</v>
      </c>
      <c r="J31" s="325">
        <f>H31/B2</f>
        <v>1.7371832565350783E-3</v>
      </c>
    </row>
    <row r="32" spans="1:10" s="326" customFormat="1" ht="45.75" thickBot="1" x14ac:dyDescent="0.3">
      <c r="A32" s="316" t="s">
        <v>632</v>
      </c>
      <c r="B32" s="28" t="s">
        <v>633</v>
      </c>
      <c r="C32" s="28" t="s">
        <v>634</v>
      </c>
      <c r="D32" s="320" t="s">
        <v>586</v>
      </c>
      <c r="E32" s="323">
        <v>3526279.42</v>
      </c>
      <c r="F32" s="323">
        <v>2938845.58</v>
      </c>
      <c r="G32" s="324">
        <f>F32/B2</f>
        <v>1.2721685017997079E-2</v>
      </c>
      <c r="H32" s="323">
        <f>27456.83+105910.21</f>
        <v>133367.04000000001</v>
      </c>
      <c r="I32" s="325">
        <f>H32/F32</f>
        <v>4.5380757977763503E-2</v>
      </c>
      <c r="J32" s="325">
        <f>H32/B2</f>
        <v>5.7731970887106533E-4</v>
      </c>
    </row>
    <row r="33" spans="1:13" ht="18" thickBot="1" x14ac:dyDescent="0.3">
      <c r="A33" s="55"/>
      <c r="B33" s="329"/>
      <c r="C33" s="330"/>
      <c r="D33" s="331" t="s">
        <v>538</v>
      </c>
      <c r="E33" s="332">
        <f>SUM(E8:E32)</f>
        <v>83497920.070000008</v>
      </c>
      <c r="F33" s="333">
        <f>SUM(F8:F32)</f>
        <v>69022334.120000005</v>
      </c>
      <c r="G33" s="334">
        <f>F33/B2</f>
        <v>0.29878412117236613</v>
      </c>
      <c r="H33" s="1332">
        <f>SUM(H8:H32)</f>
        <v>15019967.809999999</v>
      </c>
      <c r="I33" s="1333">
        <f t="shared" ref="I33" si="2">H33/F33</f>
        <v>0.21761025618007596</v>
      </c>
      <c r="J33" s="1333">
        <f>H33/B2</f>
        <v>6.501848915085745E-2</v>
      </c>
      <c r="K33" s="182"/>
    </row>
    <row r="34" spans="1:13" x14ac:dyDescent="0.25">
      <c r="A34" s="55"/>
      <c r="B34" s="55"/>
      <c r="C34" s="55"/>
      <c r="D34" s="55"/>
      <c r="E34" s="55"/>
      <c r="F34" s="55"/>
      <c r="G34" s="55"/>
      <c r="H34" s="55"/>
      <c r="I34" s="55"/>
      <c r="J34" s="55"/>
    </row>
    <row r="35" spans="1:13" s="335" customFormat="1" ht="15.75" thickBot="1" x14ac:dyDescent="0.3">
      <c r="A35" s="55"/>
      <c r="B35" s="55"/>
      <c r="C35" s="55"/>
      <c r="D35" s="55"/>
      <c r="E35" s="55"/>
      <c r="F35" s="55"/>
      <c r="G35" s="55"/>
      <c r="H35" s="55"/>
      <c r="I35" s="55"/>
      <c r="J35" s="55"/>
    </row>
    <row r="36" spans="1:13" s="335" customFormat="1" ht="19.5" thickBot="1" x14ac:dyDescent="0.35">
      <c r="A36" s="55"/>
      <c r="B36" s="55"/>
      <c r="C36" s="55"/>
      <c r="D36" s="336" t="s">
        <v>635</v>
      </c>
      <c r="E36" s="337">
        <f>E6+E33</f>
        <v>427412426.56999999</v>
      </c>
      <c r="F36" s="337">
        <f>F6+F33</f>
        <v>361349664.63999999</v>
      </c>
      <c r="G36" s="338">
        <f>F36/B2</f>
        <v>1.5642116912141253</v>
      </c>
      <c r="H36" s="1334">
        <f>SUM(H6+H33)</f>
        <v>38483680.209999993</v>
      </c>
      <c r="I36" s="338">
        <f>H36/F36</f>
        <v>0.10649983651801624</v>
      </c>
      <c r="J36" s="1335">
        <f>H36/B2</f>
        <v>0.16658828939387404</v>
      </c>
    </row>
    <row r="37" spans="1:13" s="335" customFormat="1" x14ac:dyDescent="0.25">
      <c r="A37"/>
      <c r="B37"/>
      <c r="C37"/>
      <c r="D37"/>
      <c r="E37"/>
      <c r="F37"/>
      <c r="G37" s="112"/>
      <c r="H37"/>
      <c r="I37"/>
      <c r="J37"/>
      <c r="K37" s="339"/>
      <c r="L37" s="340"/>
      <c r="M37" s="340"/>
    </row>
    <row r="38" spans="1:13" s="335" customFormat="1" x14ac:dyDescent="0.25"/>
    <row r="39" spans="1:13" s="335" customFormat="1" x14ac:dyDescent="0.25">
      <c r="C39" s="341"/>
    </row>
    <row r="40" spans="1:13" s="335" customFormat="1" x14ac:dyDescent="0.25">
      <c r="C40" s="342"/>
      <c r="F40" s="343"/>
      <c r="G40" s="343"/>
      <c r="H40" s="189"/>
      <c r="I40" s="339"/>
      <c r="J40" s="344"/>
    </row>
    <row r="41" spans="1:13" x14ac:dyDescent="0.25">
      <c r="A41" s="335"/>
      <c r="B41" s="335"/>
      <c r="C41" s="335"/>
      <c r="D41" s="335"/>
      <c r="E41" s="335"/>
      <c r="F41" s="335"/>
      <c r="G41" s="335"/>
      <c r="H41" s="335"/>
      <c r="I41" s="335"/>
      <c r="J41" s="335"/>
    </row>
    <row r="42" spans="1:13" x14ac:dyDescent="0.25">
      <c r="A42" s="335"/>
      <c r="B42" s="335"/>
      <c r="C42" s="335"/>
      <c r="D42" s="335"/>
      <c r="E42" s="335"/>
      <c r="F42" s="341"/>
      <c r="G42" s="335"/>
      <c r="H42" s="335"/>
      <c r="I42" s="335"/>
      <c r="J42" s="335"/>
    </row>
    <row r="43" spans="1:13" x14ac:dyDescent="0.25">
      <c r="A43" s="335"/>
      <c r="B43" s="335"/>
      <c r="C43" s="341"/>
      <c r="D43" s="335"/>
      <c r="E43" s="335"/>
      <c r="F43" s="335"/>
      <c r="G43" s="335"/>
      <c r="H43" s="335"/>
      <c r="I43" s="335"/>
      <c r="J43" s="335"/>
    </row>
    <row r="44" spans="1:13" x14ac:dyDescent="0.25">
      <c r="C44" s="182"/>
    </row>
    <row r="45" spans="1:13" x14ac:dyDescent="0.25">
      <c r="D45" s="182"/>
      <c r="E45" s="182"/>
    </row>
  </sheetData>
  <mergeCells count="2">
    <mergeCell ref="A4:J4"/>
    <mergeCell ref="A7:J7"/>
  </mergeCells>
  <pageMargins left="0.7" right="0.7" top="0.75" bottom="0.75" header="0.3" footer="0.3"/>
  <pageSetup paperSize="9" orientation="portrait" r:id="rId1"/>
  <ignoredErrors>
    <ignoredError sqref="G33"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opLeftCell="A13" zoomScale="80" zoomScaleNormal="80" workbookViewId="0">
      <selection activeCell="A29" sqref="A29"/>
    </sheetView>
  </sheetViews>
  <sheetFormatPr defaultColWidth="9.140625" defaultRowHeight="15" x14ac:dyDescent="0.25"/>
  <cols>
    <col min="1" max="1" width="42" customWidth="1"/>
    <col min="2" max="2" width="26.85546875" style="64" bestFit="1" customWidth="1"/>
    <col min="3" max="3" width="46.5703125" style="178" customWidth="1"/>
    <col min="4" max="4" width="27.140625" style="271" customWidth="1"/>
    <col min="5" max="5" width="27.42578125" bestFit="1" customWidth="1"/>
    <col min="6" max="6" width="22.42578125" bestFit="1" customWidth="1"/>
    <col min="7" max="7" width="23.140625" bestFit="1" customWidth="1"/>
    <col min="8" max="8" width="18.42578125" customWidth="1"/>
    <col min="9" max="9" width="17.42578125" customWidth="1"/>
    <col min="10" max="10" width="18.42578125" customWidth="1"/>
    <col min="12" max="12" width="14.85546875" bestFit="1" customWidth="1"/>
  </cols>
  <sheetData>
    <row r="1" spans="1:9" ht="15.75" x14ac:dyDescent="0.25">
      <c r="A1" s="345" t="s">
        <v>636</v>
      </c>
      <c r="B1" s="346" t="s">
        <v>100</v>
      </c>
      <c r="C1" s="1" t="s">
        <v>2127</v>
      </c>
      <c r="E1" s="272"/>
    </row>
    <row r="2" spans="1:9" ht="15.75" thickBot="1" x14ac:dyDescent="0.3">
      <c r="A2" s="347" t="s">
        <v>101</v>
      </c>
      <c r="B2" s="348">
        <v>152000000</v>
      </c>
      <c r="E2" s="275"/>
      <c r="F2" s="182"/>
    </row>
    <row r="3" spans="1:9" ht="26.25" thickBot="1" x14ac:dyDescent="0.3">
      <c r="A3" s="276" t="s">
        <v>529</v>
      </c>
      <c r="B3" s="277" t="s">
        <v>104</v>
      </c>
      <c r="C3" s="278" t="s">
        <v>105</v>
      </c>
      <c r="D3" s="278" t="s">
        <v>530</v>
      </c>
      <c r="E3" s="278" t="s">
        <v>106</v>
      </c>
      <c r="F3" s="280" t="s">
        <v>637</v>
      </c>
      <c r="G3" s="278" t="s">
        <v>9</v>
      </c>
      <c r="H3" s="280" t="s">
        <v>110</v>
      </c>
      <c r="I3" s="280" t="s">
        <v>637</v>
      </c>
    </row>
    <row r="4" spans="1:9" s="111" customFormat="1" ht="45" x14ac:dyDescent="0.25">
      <c r="A4" s="349" t="s">
        <v>638</v>
      </c>
      <c r="B4" s="350" t="s">
        <v>639</v>
      </c>
      <c r="C4" s="351" t="s">
        <v>640</v>
      </c>
      <c r="D4" s="352" t="s">
        <v>641</v>
      </c>
      <c r="E4" s="353">
        <v>48450000</v>
      </c>
      <c r="F4" s="354">
        <f>E4/B2</f>
        <v>0.31874999999999998</v>
      </c>
      <c r="G4" s="974">
        <f>59581.82+13428.35+34821.16+45505.23+53457.84+340283.27+534120.83+76879.58+194679.97+550447.09+153255.13+2088145.36+1211085.09</f>
        <v>5355690.72</v>
      </c>
      <c r="H4" s="355">
        <f>G4/E4</f>
        <v>0.11054057213622291</v>
      </c>
      <c r="I4" s="204">
        <f>G4/B2</f>
        <v>3.5234807368421051E-2</v>
      </c>
    </row>
    <row r="5" spans="1:9" s="111" customFormat="1" ht="30.75" thickBot="1" x14ac:dyDescent="0.3">
      <c r="A5" s="356" t="s">
        <v>642</v>
      </c>
      <c r="B5" s="357" t="s">
        <v>535</v>
      </c>
      <c r="C5" s="358" t="s">
        <v>643</v>
      </c>
      <c r="D5" s="359" t="s">
        <v>644</v>
      </c>
      <c r="E5" s="360">
        <v>106354975</v>
      </c>
      <c r="F5" s="361">
        <f>E5/B2</f>
        <v>0.69970378289473689</v>
      </c>
      <c r="G5" s="1190">
        <f>236067.36+93965.76+101913.61+82040.73+127698.31+1137588.48+762080.68+599410.5+9000897.54+347364.1+6191887.71+346920.11+483992.27+1985921.79+4832989.31+84799.87+4369380.09+5934308.34+6509162.82</f>
        <v>43228389.379999995</v>
      </c>
      <c r="H5" s="1191">
        <f>G5/E5</f>
        <v>0.4064538530520081</v>
      </c>
      <c r="I5" s="260">
        <f>G5/B2</f>
        <v>0.28439729855263157</v>
      </c>
    </row>
    <row r="6" spans="1:9" ht="16.5" thickBot="1" x14ac:dyDescent="0.3">
      <c r="C6" s="362" t="s">
        <v>645</v>
      </c>
      <c r="D6" s="363"/>
      <c r="E6" s="364">
        <f>SUM(E4:E5)</f>
        <v>154804975</v>
      </c>
      <c r="F6" s="365">
        <f>SUM(F4:F5)</f>
        <v>1.0184537828947369</v>
      </c>
      <c r="G6" s="1192">
        <f>SUM(G4:G5)</f>
        <v>48584080.099999994</v>
      </c>
      <c r="H6" s="1193">
        <f>G6/E6</f>
        <v>0.31384056035666807</v>
      </c>
      <c r="I6" s="1193">
        <f>G6/B2</f>
        <v>0.31963210592105257</v>
      </c>
    </row>
    <row r="8" spans="1:9" ht="15.75" thickBot="1" x14ac:dyDescent="0.3"/>
    <row r="9" spans="1:9" x14ac:dyDescent="0.25">
      <c r="A9" s="366" t="s">
        <v>646</v>
      </c>
      <c r="B9" s="367" t="s">
        <v>100</v>
      </c>
      <c r="E9" s="272"/>
    </row>
    <row r="10" spans="1:9" ht="15.75" thickBot="1" x14ac:dyDescent="0.3">
      <c r="A10" s="368" t="s">
        <v>101</v>
      </c>
      <c r="B10" s="369">
        <v>950000000</v>
      </c>
      <c r="E10" s="275"/>
      <c r="F10" s="182"/>
    </row>
    <row r="11" spans="1:9" ht="26.25" thickBot="1" x14ac:dyDescent="0.3">
      <c r="A11" s="276" t="s">
        <v>529</v>
      </c>
      <c r="B11" s="277" t="s">
        <v>104</v>
      </c>
      <c r="C11" s="278" t="s">
        <v>105</v>
      </c>
      <c r="D11" s="278" t="s">
        <v>530</v>
      </c>
      <c r="E11" s="278" t="s">
        <v>106</v>
      </c>
      <c r="F11" s="280" t="s">
        <v>647</v>
      </c>
      <c r="G11" s="278" t="s">
        <v>9</v>
      </c>
      <c r="H11" s="280" t="s">
        <v>110</v>
      </c>
      <c r="I11" s="280" t="s">
        <v>647</v>
      </c>
    </row>
    <row r="12" spans="1:9" ht="15.75" thickBot="1" x14ac:dyDescent="0.3">
      <c r="A12" s="1520" t="s">
        <v>648</v>
      </c>
      <c r="B12" s="1521"/>
      <c r="C12" s="1521"/>
      <c r="D12" s="1521"/>
      <c r="E12" s="1521"/>
      <c r="F12" s="1521"/>
      <c r="G12" s="1521"/>
      <c r="H12" s="1521"/>
      <c r="I12" s="1522"/>
    </row>
    <row r="13" spans="1:9" ht="30" x14ac:dyDescent="0.25">
      <c r="A13" s="370" t="s">
        <v>649</v>
      </c>
      <c r="B13" s="371" t="s">
        <v>2112</v>
      </c>
      <c r="C13" s="372" t="s">
        <v>650</v>
      </c>
      <c r="D13" s="352" t="s">
        <v>651</v>
      </c>
      <c r="E13" s="373">
        <v>12916704.51</v>
      </c>
      <c r="F13" s="374">
        <f>E13/B10</f>
        <v>1.3596531063157894E-2</v>
      </c>
      <c r="G13" s="170">
        <f>33205.52+34976.67+76368.63+63514.67+109293.3+80567.45+116150.07+41713.28+40838.93+63249.51+60813.4+208883.39+145223.14+345596.56+576539.06+1362376.54+854548.7+1032168.6+955485.57</f>
        <v>6201512.9900000002</v>
      </c>
      <c r="H13" s="375">
        <f>G13/E13</f>
        <v>0.48011572806351982</v>
      </c>
      <c r="I13" s="375">
        <f>G13/B10</f>
        <v>6.5279084105263159E-3</v>
      </c>
    </row>
    <row r="14" spans="1:9" ht="45" x14ac:dyDescent="0.25">
      <c r="A14" s="370" t="s">
        <v>652</v>
      </c>
      <c r="B14" s="371" t="s">
        <v>2113</v>
      </c>
      <c r="C14" s="376" t="s">
        <v>653</v>
      </c>
      <c r="D14" s="377" t="s">
        <v>654</v>
      </c>
      <c r="E14" s="378">
        <v>76194426.400000006</v>
      </c>
      <c r="F14" s="374">
        <f>E14/B10</f>
        <v>8.0204659368421055E-2</v>
      </c>
      <c r="G14" s="98">
        <f>1248666.09+187724.18</f>
        <v>1436390.27</v>
      </c>
      <c r="H14" s="375">
        <f>G14/E14</f>
        <v>1.8851644901942591E-2</v>
      </c>
      <c r="I14" s="375">
        <f>G14/B10</f>
        <v>1.5119897578947368E-3</v>
      </c>
    </row>
    <row r="15" spans="1:9" ht="30.75" thickBot="1" x14ac:dyDescent="0.3">
      <c r="A15" s="62" t="s">
        <v>655</v>
      </c>
      <c r="B15" s="1234" t="s">
        <v>2112</v>
      </c>
      <c r="C15" s="1236" t="s">
        <v>656</v>
      </c>
      <c r="D15" s="379" t="s">
        <v>657</v>
      </c>
      <c r="E15" s="380">
        <v>70063061.329999998</v>
      </c>
      <c r="F15" s="381">
        <f>E15/B10</f>
        <v>7.3750590873684213E-2</v>
      </c>
      <c r="G15" s="1247">
        <f>299461.01+845294.66+227725.75+237066.88+224874.74+246532.2+242388.62+338664.16</f>
        <v>2662008.02</v>
      </c>
      <c r="H15" s="1315">
        <f>G15/E15</f>
        <v>3.7994457699497726E-2</v>
      </c>
      <c r="I15" s="1315">
        <f>G15/B10</f>
        <v>2.8021137052631579E-3</v>
      </c>
    </row>
    <row r="16" spans="1:9" ht="16.5" thickBot="1" x14ac:dyDescent="0.3">
      <c r="A16" s="189"/>
      <c r="B16" s="384"/>
      <c r="C16" s="385" t="s">
        <v>658</v>
      </c>
      <c r="D16" s="386"/>
      <c r="E16" s="387">
        <f>E13+E14+E15</f>
        <v>159174192.24000001</v>
      </c>
      <c r="F16" s="388">
        <f>E16/159600000</f>
        <v>0.99733203157894745</v>
      </c>
      <c r="G16" s="1248">
        <f>G13+G14+G15+G23</f>
        <v>10299911.279999999</v>
      </c>
      <c r="H16" s="412">
        <f>G16/E16</f>
        <v>6.4708424996873723E-2</v>
      </c>
      <c r="I16" s="413">
        <f>G16/159600000</f>
        <v>6.4535784962406015E-2</v>
      </c>
    </row>
    <row r="17" spans="1:12" ht="15.75" thickBot="1" x14ac:dyDescent="0.3">
      <c r="A17" s="1523" t="s">
        <v>659</v>
      </c>
      <c r="B17" s="1524"/>
      <c r="C17" s="1524"/>
      <c r="D17" s="1525"/>
      <c r="E17" s="1526"/>
      <c r="F17" s="1526"/>
      <c r="G17" s="1526"/>
      <c r="H17" s="1526"/>
      <c r="I17" s="1527"/>
    </row>
    <row r="18" spans="1:12" s="73" customFormat="1" ht="45" x14ac:dyDescent="0.25">
      <c r="A18" s="389" t="s">
        <v>660</v>
      </c>
      <c r="B18" s="390" t="s">
        <v>2113</v>
      </c>
      <c r="C18" s="391" t="s">
        <v>661</v>
      </c>
      <c r="D18" s="392" t="s">
        <v>662</v>
      </c>
      <c r="E18" s="393">
        <v>7108979.1699999999</v>
      </c>
      <c r="F18" s="394">
        <f>E18/B10</f>
        <v>7.4831359684210527E-3</v>
      </c>
      <c r="G18" s="87">
        <f>293897.76+25481.09+54739.11+63935.65+72819.84+74019.35+74031.79+87335.39+786447.31+672063.93+265943.52+207535.03+581897.51+368519.57+1858313.52</f>
        <v>5486980.3700000001</v>
      </c>
      <c r="H18" s="395">
        <f>G18/E18</f>
        <v>0.77183801482428593</v>
      </c>
      <c r="I18" s="395">
        <f>G18/B10</f>
        <v>5.7757688105263159E-3</v>
      </c>
      <c r="J18" s="396" t="s">
        <v>663</v>
      </c>
      <c r="L18" s="182"/>
    </row>
    <row r="19" spans="1:12" ht="30" x14ac:dyDescent="0.25">
      <c r="A19" s="62" t="s">
        <v>664</v>
      </c>
      <c r="B19" s="1234" t="s">
        <v>2114</v>
      </c>
      <c r="C19" s="1235" t="s">
        <v>665</v>
      </c>
      <c r="D19" s="397" t="s">
        <v>666</v>
      </c>
      <c r="E19" s="378">
        <v>9342844.4600000009</v>
      </c>
      <c r="F19" s="374">
        <f>E19/B10</f>
        <v>9.8345731157894745E-3</v>
      </c>
      <c r="G19" s="98">
        <f>1051.25+31752.4+38270.88+79148.43+6388.18+304681+10565.92+178789.88+249583.97+54385.38+611178.53</f>
        <v>1565795.8199999998</v>
      </c>
      <c r="H19" s="398">
        <f>G19/E19</f>
        <v>0.16759305227692933</v>
      </c>
      <c r="I19" s="375">
        <f>G19/B10</f>
        <v>1.6482061263157894E-3</v>
      </c>
    </row>
    <row r="20" spans="1:12" ht="30" x14ac:dyDescent="0.25">
      <c r="A20" s="399" t="s">
        <v>667</v>
      </c>
      <c r="B20" s="400" t="s">
        <v>2114</v>
      </c>
      <c r="C20" s="1236" t="s">
        <v>668</v>
      </c>
      <c r="D20" s="397" t="s">
        <v>669</v>
      </c>
      <c r="E20" s="380">
        <v>158503452.80000001</v>
      </c>
      <c r="F20" s="401">
        <f>E20/B10</f>
        <v>0.1668457397894737</v>
      </c>
      <c r="G20" s="382">
        <f>74800+306135.35+610056.72+459597.66+485887.8+500569.38+367173.84+2234007.11+801427.39+811799.95+1459162.07+8928885.83</f>
        <v>17039503.100000001</v>
      </c>
      <c r="H20" s="383">
        <f>G20/E20</f>
        <v>0.1075024095626515</v>
      </c>
      <c r="I20" s="402">
        <f>G20/B10</f>
        <v>1.7936319052631579E-2</v>
      </c>
    </row>
    <row r="21" spans="1:12" ht="45" x14ac:dyDescent="0.25">
      <c r="A21" s="62" t="s">
        <v>670</v>
      </c>
      <c r="B21" s="1234" t="s">
        <v>671</v>
      </c>
      <c r="C21" s="1235" t="s">
        <v>672</v>
      </c>
      <c r="D21" s="397" t="s">
        <v>673</v>
      </c>
      <c r="E21" s="378">
        <v>31173724.75</v>
      </c>
      <c r="F21" s="403">
        <f>E21/B10</f>
        <v>3.2814447105263156E-2</v>
      </c>
      <c r="G21" s="98">
        <f>16574.99+194988.29+141230.57+186783.21</f>
        <v>539577.05999999994</v>
      </c>
      <c r="H21" s="398">
        <f>G21/E21</f>
        <v>1.7308713165564212E-2</v>
      </c>
      <c r="I21" s="398">
        <f>G21/B10</f>
        <v>5.6797585263157892E-4</v>
      </c>
    </row>
    <row r="22" spans="1:12" ht="30" x14ac:dyDescent="0.25">
      <c r="A22" s="62" t="s">
        <v>674</v>
      </c>
      <c r="B22" s="1234" t="s">
        <v>675</v>
      </c>
      <c r="C22" s="1236" t="s">
        <v>676</v>
      </c>
      <c r="D22" s="379" t="s">
        <v>677</v>
      </c>
      <c r="E22" s="380">
        <f>6000000</f>
        <v>6000000</v>
      </c>
      <c r="F22" s="403">
        <f>E22/B10</f>
        <v>6.3157894736842104E-3</v>
      </c>
      <c r="G22" s="382">
        <v>69757.3</v>
      </c>
      <c r="H22" s="398">
        <f>G22/E22</f>
        <v>1.1626216666666666E-2</v>
      </c>
      <c r="I22" s="398">
        <f>G22/B10</f>
        <v>7.3428736842105264E-5</v>
      </c>
    </row>
    <row r="23" spans="1:12" ht="60" x14ac:dyDescent="0.25">
      <c r="A23" s="62" t="s">
        <v>678</v>
      </c>
      <c r="B23" s="1234" t="s">
        <v>679</v>
      </c>
      <c r="C23" s="1255" t="s">
        <v>680</v>
      </c>
      <c r="D23" s="379" t="s">
        <v>681</v>
      </c>
      <c r="E23" s="380">
        <v>5513273.6299999999</v>
      </c>
      <c r="F23" s="381">
        <f>E23/B10</f>
        <v>5.8034459263157897E-3</v>
      </c>
      <c r="G23" s="382">
        <v>0</v>
      </c>
      <c r="H23" s="383">
        <v>0</v>
      </c>
      <c r="I23" s="383">
        <v>0</v>
      </c>
    </row>
    <row r="24" spans="1:12" ht="30" x14ac:dyDescent="0.25">
      <c r="A24" s="399" t="s">
        <v>682</v>
      </c>
      <c r="B24" s="400" t="s">
        <v>683</v>
      </c>
      <c r="C24" s="1238" t="s">
        <v>684</v>
      </c>
      <c r="D24" s="379" t="s">
        <v>685</v>
      </c>
      <c r="E24" s="380">
        <v>754656.78</v>
      </c>
      <c r="F24" s="381">
        <f>E24/B10</f>
        <v>7.9437555789473686E-4</v>
      </c>
      <c r="G24" s="382">
        <v>0</v>
      </c>
      <c r="H24" s="383">
        <v>0</v>
      </c>
      <c r="I24" s="383">
        <v>0</v>
      </c>
    </row>
    <row r="25" spans="1:12" ht="30" x14ac:dyDescent="0.25">
      <c r="A25" s="62" t="s">
        <v>686</v>
      </c>
      <c r="B25" s="1234" t="s">
        <v>687</v>
      </c>
      <c r="C25" s="483" t="s">
        <v>688</v>
      </c>
      <c r="D25" s="397" t="s">
        <v>689</v>
      </c>
      <c r="E25" s="378">
        <v>4818130.5</v>
      </c>
      <c r="F25" s="381">
        <f>E25/B10</f>
        <v>5.071716315789474E-3</v>
      </c>
      <c r="G25" s="98">
        <v>0</v>
      </c>
      <c r="H25" s="398">
        <v>0</v>
      </c>
      <c r="I25" s="398">
        <v>0</v>
      </c>
    </row>
    <row r="26" spans="1:12" ht="30" x14ac:dyDescent="0.25">
      <c r="A26" s="62" t="s">
        <v>690</v>
      </c>
      <c r="B26" s="1234" t="s">
        <v>691</v>
      </c>
      <c r="C26" s="483" t="s">
        <v>692</v>
      </c>
      <c r="D26" s="397" t="s">
        <v>685</v>
      </c>
      <c r="E26" s="378">
        <v>5428896.0499999998</v>
      </c>
      <c r="F26" s="381">
        <f>E26/B10</f>
        <v>5.714627421052631E-3</v>
      </c>
      <c r="G26" s="382">
        <v>0</v>
      </c>
      <c r="H26" s="398">
        <v>0</v>
      </c>
      <c r="I26" s="398">
        <v>0</v>
      </c>
    </row>
    <row r="27" spans="1:12" ht="16.5" thickBot="1" x14ac:dyDescent="0.3">
      <c r="A27" s="189"/>
      <c r="B27" s="384"/>
      <c r="C27" s="404" t="s">
        <v>693</v>
      </c>
      <c r="D27" s="405"/>
      <c r="E27" s="406">
        <f>E18+E19+E20+E21+E23+E22+E24+E25+E26</f>
        <v>228643958.14000002</v>
      </c>
      <c r="F27" s="407">
        <f>E27/410400000</f>
        <v>0.55712465433723202</v>
      </c>
      <c r="G27" s="1316">
        <f>G18+G19+G20+G21+G23+G22</f>
        <v>24701613.649999999</v>
      </c>
      <c r="H27" s="1317">
        <f>G27/E27</f>
        <v>0.10803527830319951</v>
      </c>
      <c r="I27" s="1318">
        <f>G27/410400000</f>
        <v>6.0189117080896685E-2</v>
      </c>
    </row>
    <row r="28" spans="1:12" ht="15.75" thickBot="1" x14ac:dyDescent="0.3">
      <c r="A28" s="1523" t="s">
        <v>694</v>
      </c>
      <c r="B28" s="1524"/>
      <c r="C28" s="1524"/>
      <c r="D28" s="1526"/>
      <c r="E28" s="1526"/>
      <c r="F28" s="1526"/>
      <c r="G28" s="1526"/>
      <c r="H28" s="1526"/>
      <c r="I28" s="1527"/>
    </row>
    <row r="29" spans="1:12" ht="59.25" customHeight="1" x14ac:dyDescent="0.25">
      <c r="A29" s="399" t="s">
        <v>695</v>
      </c>
      <c r="B29" s="400" t="s">
        <v>696</v>
      </c>
      <c r="C29" s="408" t="s">
        <v>697</v>
      </c>
      <c r="D29" s="352" t="s">
        <v>698</v>
      </c>
      <c r="E29" s="380">
        <v>314139354.67000002</v>
      </c>
      <c r="F29" s="401">
        <f>E29/B10</f>
        <v>0.33067300491578949</v>
      </c>
      <c r="G29" s="1247">
        <f>19839463.07+4134585.15+56254475.01+3487492.42+71778912.25+52500818.35+1295534.87+4249072.56+11138740.91+327382.33+24220.75+4652784.25+874247.2+276165+196562.5+54702.37+5200097.75</f>
        <v>236285256.73999998</v>
      </c>
      <c r="H29" s="1336">
        <f>G29/E29</f>
        <v>0.7521670024063527</v>
      </c>
      <c r="I29" s="1336">
        <f>G29/B10</f>
        <v>0.24872132288421051</v>
      </c>
    </row>
    <row r="30" spans="1:12" ht="45.75" thickBot="1" x14ac:dyDescent="0.3">
      <c r="A30" s="62" t="s">
        <v>699</v>
      </c>
      <c r="B30" s="1234" t="s">
        <v>696</v>
      </c>
      <c r="C30" s="408" t="s">
        <v>700</v>
      </c>
      <c r="D30" s="359" t="s">
        <v>701</v>
      </c>
      <c r="E30" s="380">
        <v>218708288.13999999</v>
      </c>
      <c r="F30" s="381">
        <f>E30/B10</f>
        <v>0.23021925067368421</v>
      </c>
      <c r="G30" s="382">
        <f>58458967.12+15425670.45+334321.12+147254.33+77579526.8+435972.44</f>
        <v>152381712.25999999</v>
      </c>
      <c r="H30" s="402">
        <f>G30/E30</f>
        <v>0.69673496855527073</v>
      </c>
      <c r="I30" s="402">
        <f>G30/B10</f>
        <v>0.16040180237894736</v>
      </c>
      <c r="J30" s="409"/>
    </row>
    <row r="31" spans="1:12" ht="16.5" thickBot="1" x14ac:dyDescent="0.3">
      <c r="A31" s="189"/>
      <c r="B31" s="384"/>
      <c r="C31" s="385" t="s">
        <v>702</v>
      </c>
      <c r="D31" s="386"/>
      <c r="E31" s="410">
        <f>E29+E30</f>
        <v>532847642.81</v>
      </c>
      <c r="F31" s="411">
        <f>E31/380000000</f>
        <v>1.4022306389736843</v>
      </c>
      <c r="G31" s="1248">
        <f>G29+G30</f>
        <v>388666969</v>
      </c>
      <c r="H31" s="1337">
        <f>G31/E31</f>
        <v>0.72941482287571802</v>
      </c>
      <c r="I31" s="1338">
        <f>G31/380000000</f>
        <v>1.0228078131578948</v>
      </c>
    </row>
    <row r="32" spans="1:12" ht="16.5" thickBot="1" x14ac:dyDescent="0.3">
      <c r="A32" s="55"/>
      <c r="B32" s="329"/>
      <c r="C32" s="414" t="s">
        <v>703</v>
      </c>
      <c r="D32" s="405"/>
      <c r="E32" s="415">
        <f>E16+E27+E31</f>
        <v>920665793.19000006</v>
      </c>
      <c r="F32" s="365">
        <f>E32/950000000</f>
        <v>0.9691218875684211</v>
      </c>
      <c r="G32" s="1249">
        <f>G16+G27+G31</f>
        <v>423668493.93000001</v>
      </c>
      <c r="H32" s="1250">
        <f>G32/E32</f>
        <v>0.46017620841764728</v>
      </c>
      <c r="I32" s="1250">
        <f>G32/950000000</f>
        <v>0.44596683571578949</v>
      </c>
    </row>
    <row r="33" spans="1:9" x14ac:dyDescent="0.25">
      <c r="A33" s="55"/>
      <c r="B33" s="329"/>
      <c r="C33" s="416"/>
      <c r="D33" s="417"/>
      <c r="E33" s="55"/>
      <c r="F33" s="55"/>
      <c r="G33" s="55"/>
      <c r="H33" s="55"/>
      <c r="I33" s="55"/>
    </row>
    <row r="34" spans="1:9" x14ac:dyDescent="0.25">
      <c r="A34" s="55"/>
      <c r="B34" s="329"/>
      <c r="C34" s="416"/>
      <c r="D34" s="417"/>
      <c r="E34" s="55"/>
      <c r="F34" s="55"/>
      <c r="G34" s="55"/>
      <c r="H34" s="55"/>
      <c r="I34" s="55"/>
    </row>
    <row r="35" spans="1:9" ht="26.1" customHeight="1" x14ac:dyDescent="0.25">
      <c r="A35" s="55"/>
      <c r="B35" s="329"/>
      <c r="C35" s="416"/>
      <c r="D35" s="417"/>
      <c r="E35" s="55"/>
      <c r="F35" s="55"/>
      <c r="G35" s="55"/>
      <c r="H35" s="55"/>
      <c r="I35" s="55"/>
    </row>
    <row r="36" spans="1:9" ht="15" customHeight="1" x14ac:dyDescent="0.25">
      <c r="A36" s="55"/>
      <c r="B36" s="329"/>
      <c r="C36" s="418"/>
      <c r="D36" s="419"/>
      <c r="E36" s="1528"/>
      <c r="F36" s="1528"/>
      <c r="G36" s="1528"/>
      <c r="H36" s="1528"/>
      <c r="I36" s="55"/>
    </row>
    <row r="37" spans="1:9" ht="15.75" x14ac:dyDescent="0.25">
      <c r="A37" s="55"/>
      <c r="B37" s="329"/>
      <c r="C37" s="330"/>
      <c r="D37" s="420"/>
      <c r="E37" s="1518"/>
      <c r="F37" s="1518"/>
      <c r="G37" s="1519"/>
      <c r="H37" s="1519"/>
      <c r="I37" s="55"/>
    </row>
    <row r="38" spans="1:9" x14ac:dyDescent="0.25">
      <c r="B38"/>
      <c r="C38" s="421"/>
      <c r="D38" s="422"/>
      <c r="E38" s="335"/>
      <c r="F38" s="335"/>
      <c r="G38" s="335"/>
      <c r="H38" s="335"/>
    </row>
  </sheetData>
  <mergeCells count="7">
    <mergeCell ref="E37:F37"/>
    <mergeCell ref="G37:H37"/>
    <mergeCell ref="A12:I12"/>
    <mergeCell ref="A17:I17"/>
    <mergeCell ref="A28:I28"/>
    <mergeCell ref="E36:F36"/>
    <mergeCell ref="G36:H3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A87"/>
  <sheetViews>
    <sheetView showGridLines="0" zoomScale="55" zoomScaleNormal="55" workbookViewId="0">
      <pane xSplit="1" ySplit="3" topLeftCell="W13" activePane="bottomRight" state="frozen"/>
      <selection pane="topRight"/>
      <selection pane="bottomLeft"/>
      <selection pane="bottomRight" activeCell="AH62" sqref="AH62"/>
    </sheetView>
  </sheetViews>
  <sheetFormatPr defaultColWidth="9.140625" defaultRowHeight="18.75" x14ac:dyDescent="0.3"/>
  <cols>
    <col min="1" max="1" width="53.42578125" style="617" customWidth="1"/>
    <col min="2" max="2" width="45.5703125" style="617" customWidth="1"/>
    <col min="3" max="3" width="39.5703125" style="617" customWidth="1"/>
    <col min="4" max="4" width="37.140625" style="617" customWidth="1"/>
    <col min="5" max="5" width="28" style="617" customWidth="1"/>
    <col min="6" max="11" width="23.140625" style="617" hidden="1" customWidth="1"/>
    <col min="12" max="12" width="22.5703125" style="617" customWidth="1"/>
    <col min="13" max="13" width="26.42578125" style="617" customWidth="1"/>
    <col min="14" max="14" width="28.140625" style="617" customWidth="1"/>
    <col min="15" max="15" width="18" style="617" customWidth="1"/>
    <col min="16" max="16" width="27.42578125" style="618" customWidth="1"/>
    <col min="17" max="17" width="26.140625" style="618" hidden="1" customWidth="1"/>
    <col min="18" max="19" width="26.42578125" style="618" hidden="1" customWidth="1"/>
    <col min="20" max="20" width="25.28515625" style="618" hidden="1" customWidth="1"/>
    <col min="21" max="21" width="24.85546875" style="618" hidden="1" customWidth="1"/>
    <col min="22" max="22" width="25.7109375" style="618" hidden="1" customWidth="1"/>
    <col min="23" max="23" width="18.85546875" style="618" customWidth="1"/>
    <col min="24" max="24" width="20.140625" style="618" customWidth="1"/>
    <col min="25" max="25" width="31.42578125" style="618" hidden="1" customWidth="1"/>
    <col min="26" max="26" width="25.5703125" style="618" customWidth="1"/>
    <col min="27" max="27" width="36" style="618" customWidth="1"/>
    <col min="28" max="28" width="24.28515625" style="619" hidden="1" customWidth="1"/>
    <col min="29" max="29" width="99.140625" style="619" customWidth="1"/>
    <col min="30" max="30" width="18.85546875" style="618" customWidth="1"/>
    <col min="31" max="31" width="33.42578125" style="618" bestFit="1" customWidth="1"/>
    <col min="32" max="32" width="22.5703125" style="618" hidden="1" customWidth="1"/>
    <col min="33" max="33" width="24" style="618" customWidth="1"/>
    <col min="34" max="34" width="23.42578125" style="618" customWidth="1"/>
    <col min="35" max="35" width="17.85546875" style="618" hidden="1" customWidth="1"/>
    <col min="36" max="37" width="24.85546875" style="618" hidden="1" customWidth="1"/>
    <col min="38" max="38" width="24.85546875" style="618" customWidth="1"/>
    <col min="39" max="39" width="23.140625" style="618" customWidth="1"/>
    <col min="40" max="40" width="27.42578125" style="618" customWidth="1"/>
    <col min="41" max="42" width="28.140625" style="618" customWidth="1"/>
    <col min="43" max="43" width="14.85546875" style="618" customWidth="1"/>
    <col min="44" max="44" width="17" style="618" customWidth="1"/>
    <col min="45" max="16384" width="9.140625" style="618"/>
  </cols>
  <sheetData>
    <row r="1" spans="1:53" ht="25.5" customHeight="1" x14ac:dyDescent="0.3">
      <c r="A1" s="615" t="s">
        <v>2144</v>
      </c>
      <c r="B1" s="615"/>
      <c r="C1" s="616"/>
    </row>
    <row r="2" spans="1:53" s="622" customFormat="1" ht="24" thickBot="1" x14ac:dyDescent="0.35">
      <c r="A2" s="1530" t="s">
        <v>1198</v>
      </c>
      <c r="B2" s="1530"/>
      <c r="C2" s="1530"/>
      <c r="D2" s="1530"/>
      <c r="E2" s="620"/>
      <c r="F2" s="1531" t="s">
        <v>1199</v>
      </c>
      <c r="G2" s="1531"/>
      <c r="H2" s="1531"/>
      <c r="I2" s="1531"/>
      <c r="J2" s="1531"/>
      <c r="K2" s="1531"/>
      <c r="L2" s="1531"/>
      <c r="M2" s="1531"/>
      <c r="N2" s="1531"/>
      <c r="O2" s="1531"/>
      <c r="P2" s="1531"/>
      <c r="Q2" s="1531"/>
      <c r="R2" s="1531"/>
      <c r="S2" s="1531"/>
      <c r="T2" s="1531"/>
      <c r="U2" s="1531"/>
      <c r="V2" s="1531"/>
      <c r="W2" s="1531"/>
      <c r="X2" s="1531"/>
      <c r="Y2" s="1531"/>
      <c r="Z2" s="1531"/>
      <c r="AA2" s="1531"/>
      <c r="AB2" s="1531"/>
      <c r="AC2" s="621"/>
      <c r="AD2" s="1532" t="s">
        <v>1200</v>
      </c>
      <c r="AE2" s="1532"/>
      <c r="AF2" s="1532"/>
      <c r="AG2" s="1532"/>
      <c r="AH2" s="1533" t="s">
        <v>1201</v>
      </c>
      <c r="AI2" s="1533"/>
      <c r="AJ2" s="1533"/>
      <c r="AK2" s="1533"/>
      <c r="AL2" s="1533"/>
      <c r="AM2" s="1529" t="s">
        <v>1202</v>
      </c>
      <c r="AN2" s="1529"/>
      <c r="AO2" s="1529"/>
    </row>
    <row r="3" spans="1:53" ht="95.25" customHeight="1" x14ac:dyDescent="0.3">
      <c r="A3" s="623" t="s">
        <v>72</v>
      </c>
      <c r="B3" s="624" t="s">
        <v>3</v>
      </c>
      <c r="C3" s="625" t="s">
        <v>1203</v>
      </c>
      <c r="D3" s="625" t="s">
        <v>1204</v>
      </c>
      <c r="E3" s="625" t="s">
        <v>1205</v>
      </c>
      <c r="F3" s="626" t="s">
        <v>1206</v>
      </c>
      <c r="G3" s="626" t="s">
        <v>1207</v>
      </c>
      <c r="H3" s="626" t="s">
        <v>1208</v>
      </c>
      <c r="I3" s="626" t="s">
        <v>1209</v>
      </c>
      <c r="J3" s="626" t="s">
        <v>1210</v>
      </c>
      <c r="K3" s="626" t="s">
        <v>1211</v>
      </c>
      <c r="L3" s="627" t="s">
        <v>1212</v>
      </c>
      <c r="M3" s="627" t="s">
        <v>1213</v>
      </c>
      <c r="N3" s="627" t="s">
        <v>1214</v>
      </c>
      <c r="O3" s="627" t="s">
        <v>1215</v>
      </c>
      <c r="P3" s="627" t="s">
        <v>1216</v>
      </c>
      <c r="Q3" s="626" t="s">
        <v>1217</v>
      </c>
      <c r="R3" s="626" t="s">
        <v>1218</v>
      </c>
      <c r="S3" s="626" t="s">
        <v>1219</v>
      </c>
      <c r="T3" s="626" t="s">
        <v>1220</v>
      </c>
      <c r="U3" s="626" t="s">
        <v>1221</v>
      </c>
      <c r="V3" s="626" t="s">
        <v>1222</v>
      </c>
      <c r="W3" s="627" t="s">
        <v>1223</v>
      </c>
      <c r="X3" s="627" t="s">
        <v>1224</v>
      </c>
      <c r="Y3" s="626" t="s">
        <v>1225</v>
      </c>
      <c r="Z3" s="627" t="s">
        <v>1226</v>
      </c>
      <c r="AA3" s="627" t="s">
        <v>1227</v>
      </c>
      <c r="AB3" s="626" t="s">
        <v>1228</v>
      </c>
      <c r="AC3" s="628" t="s">
        <v>76</v>
      </c>
      <c r="AD3" s="629" t="s">
        <v>1229</v>
      </c>
      <c r="AE3" s="629" t="s">
        <v>1230</v>
      </c>
      <c r="AF3" s="630" t="s">
        <v>1231</v>
      </c>
      <c r="AG3" s="629" t="s">
        <v>1232</v>
      </c>
      <c r="AH3" s="631" t="s">
        <v>1233</v>
      </c>
      <c r="AI3" s="632" t="s">
        <v>1234</v>
      </c>
      <c r="AJ3" s="632" t="s">
        <v>2145</v>
      </c>
      <c r="AK3" s="632" t="s">
        <v>2146</v>
      </c>
      <c r="AL3" s="631" t="s">
        <v>1235</v>
      </c>
      <c r="AM3" s="633" t="s">
        <v>1236</v>
      </c>
      <c r="AN3" s="634" t="s">
        <v>1237</v>
      </c>
      <c r="AO3" s="635" t="s">
        <v>1238</v>
      </c>
    </row>
    <row r="4" spans="1:53" s="656" customFormat="1" ht="97.5" customHeight="1" x14ac:dyDescent="0.3">
      <c r="A4" s="636" t="s">
        <v>1239</v>
      </c>
      <c r="B4" s="637" t="s">
        <v>1240</v>
      </c>
      <c r="C4" s="638" t="s">
        <v>1241</v>
      </c>
      <c r="D4" s="639" t="s">
        <v>1242</v>
      </c>
      <c r="E4" s="640" t="s">
        <v>1243</v>
      </c>
      <c r="F4" s="641">
        <v>51</v>
      </c>
      <c r="G4" s="641">
        <v>104</v>
      </c>
      <c r="H4" s="641">
        <v>0</v>
      </c>
      <c r="I4" s="642">
        <v>0</v>
      </c>
      <c r="J4" s="642">
        <v>0</v>
      </c>
      <c r="K4" s="642">
        <v>0</v>
      </c>
      <c r="L4" s="643">
        <f>SUM(F4:K4)</f>
        <v>155</v>
      </c>
      <c r="M4" s="644">
        <v>1526648304.1099999</v>
      </c>
      <c r="N4" s="644">
        <v>2432444813.8099999</v>
      </c>
      <c r="O4" s="642">
        <v>155</v>
      </c>
      <c r="P4" s="642">
        <v>0</v>
      </c>
      <c r="Q4" s="645">
        <v>0</v>
      </c>
      <c r="R4" s="645">
        <v>38</v>
      </c>
      <c r="S4" s="645">
        <v>49</v>
      </c>
      <c r="T4" s="646">
        <v>0</v>
      </c>
      <c r="U4" s="646">
        <v>0</v>
      </c>
      <c r="V4" s="646">
        <v>0</v>
      </c>
      <c r="W4" s="645">
        <f>SUM(Q4:V4)</f>
        <v>87</v>
      </c>
      <c r="X4" s="646">
        <v>68</v>
      </c>
      <c r="Y4" s="647" t="s">
        <v>1243</v>
      </c>
      <c r="Z4" s="648">
        <v>683837330.29999995</v>
      </c>
      <c r="AA4" s="640" t="s">
        <v>1243</v>
      </c>
      <c r="AB4" s="649">
        <f t="shared" ref="AB4:AB8" si="0">Z4/W4</f>
        <v>7860199.198850574</v>
      </c>
      <c r="AC4" s="650" t="s">
        <v>1244</v>
      </c>
      <c r="AD4" s="651">
        <v>87</v>
      </c>
      <c r="AE4" s="652">
        <v>1311983992.6400001</v>
      </c>
      <c r="AF4" s="652" t="s">
        <v>1245</v>
      </c>
      <c r="AG4" s="653">
        <v>683837330.29999995</v>
      </c>
      <c r="AH4" s="651">
        <v>35</v>
      </c>
      <c r="AI4" s="651">
        <v>6</v>
      </c>
      <c r="AJ4" s="654">
        <v>25484967.739999998</v>
      </c>
      <c r="AK4" s="1328">
        <f>AG4-AJ4</f>
        <v>658352362.55999994</v>
      </c>
      <c r="AL4" s="654">
        <v>823530770.76999998</v>
      </c>
      <c r="AM4" s="654">
        <v>484838700.35000002</v>
      </c>
      <c r="AN4" s="654">
        <v>747036652.91999996</v>
      </c>
      <c r="AO4" s="655">
        <v>634981146.35000002</v>
      </c>
    </row>
    <row r="5" spans="1:53" s="656" customFormat="1" ht="98.45" customHeight="1" x14ac:dyDescent="0.3">
      <c r="A5" s="636" t="s">
        <v>1246</v>
      </c>
      <c r="B5" s="637" t="s">
        <v>1247</v>
      </c>
      <c r="C5" s="638" t="s">
        <v>1248</v>
      </c>
      <c r="D5" s="639" t="s">
        <v>1249</v>
      </c>
      <c r="E5" s="657">
        <v>59201453</v>
      </c>
      <c r="F5" s="643">
        <v>1</v>
      </c>
      <c r="G5" s="643">
        <v>0</v>
      </c>
      <c r="H5" s="643">
        <v>0</v>
      </c>
      <c r="I5" s="658">
        <v>0</v>
      </c>
      <c r="J5" s="658">
        <v>0</v>
      </c>
      <c r="K5" s="658">
        <v>0</v>
      </c>
      <c r="L5" s="643">
        <f t="shared" ref="L5:L8" si="1">SUM(F5:K5)</f>
        <v>1</v>
      </c>
      <c r="M5" s="644">
        <v>59201452.799999997</v>
      </c>
      <c r="N5" s="644">
        <v>69648768</v>
      </c>
      <c r="O5" s="658">
        <v>1</v>
      </c>
      <c r="P5" s="658">
        <v>0</v>
      </c>
      <c r="Q5" s="659">
        <v>1</v>
      </c>
      <c r="R5" s="659">
        <v>0</v>
      </c>
      <c r="S5" s="659">
        <v>0</v>
      </c>
      <c r="T5" s="660">
        <v>0</v>
      </c>
      <c r="U5" s="660">
        <v>0</v>
      </c>
      <c r="V5" s="660">
        <v>0</v>
      </c>
      <c r="W5" s="645">
        <f t="shared" ref="W5:W8" si="2">SUM(Q5:V5)</f>
        <v>1</v>
      </c>
      <c r="X5" s="660">
        <v>0</v>
      </c>
      <c r="Y5" s="649">
        <f t="shared" ref="Y5" si="3">E5-Z5</f>
        <v>1831495.200000003</v>
      </c>
      <c r="Z5" s="648">
        <v>57369957.799999997</v>
      </c>
      <c r="AA5" s="661">
        <f t="shared" ref="AA5:AA7" si="4">Z5/E5</f>
        <v>0.96906334038794617</v>
      </c>
      <c r="AB5" s="647">
        <f t="shared" si="0"/>
        <v>57369957.799999997</v>
      </c>
      <c r="AC5" s="650" t="s">
        <v>1250</v>
      </c>
      <c r="AD5" s="651">
        <v>1</v>
      </c>
      <c r="AE5" s="662">
        <v>67494068</v>
      </c>
      <c r="AF5" s="662" t="s">
        <v>1245</v>
      </c>
      <c r="AG5" s="654">
        <v>57369957.799999997</v>
      </c>
      <c r="AH5" s="651">
        <v>0</v>
      </c>
      <c r="AI5" s="651">
        <v>0</v>
      </c>
      <c r="AJ5" s="654">
        <v>0</v>
      </c>
      <c r="AK5" s="1328">
        <f t="shared" ref="AK5:AK8" si="5">AG5-AJ5</f>
        <v>57369957.799999997</v>
      </c>
      <c r="AL5" s="654">
        <v>49825164.93</v>
      </c>
      <c r="AM5" s="654">
        <v>42841218.590000004</v>
      </c>
      <c r="AN5" s="654">
        <v>46172702.479999997</v>
      </c>
      <c r="AO5" s="655">
        <v>39246796.57</v>
      </c>
    </row>
    <row r="6" spans="1:53" s="656" customFormat="1" ht="105" customHeight="1" x14ac:dyDescent="0.3">
      <c r="A6" s="636" t="s">
        <v>1251</v>
      </c>
      <c r="B6" s="637" t="s">
        <v>1247</v>
      </c>
      <c r="C6" s="638" t="s">
        <v>1248</v>
      </c>
      <c r="D6" s="639" t="s">
        <v>1249</v>
      </c>
      <c r="E6" s="657">
        <v>59201453</v>
      </c>
      <c r="F6" s="643">
        <v>1</v>
      </c>
      <c r="G6" s="643">
        <v>0</v>
      </c>
      <c r="H6" s="643">
        <v>0</v>
      </c>
      <c r="I6" s="658">
        <v>0</v>
      </c>
      <c r="J6" s="658">
        <v>0</v>
      </c>
      <c r="K6" s="658">
        <v>0</v>
      </c>
      <c r="L6" s="643">
        <f>SUM(F6:K6)</f>
        <v>1</v>
      </c>
      <c r="M6" s="644">
        <v>59201452.799999997</v>
      </c>
      <c r="N6" s="644">
        <v>69648768</v>
      </c>
      <c r="O6" s="658">
        <v>1</v>
      </c>
      <c r="P6" s="658">
        <v>0</v>
      </c>
      <c r="Q6" s="659">
        <v>1</v>
      </c>
      <c r="R6" s="659">
        <v>0</v>
      </c>
      <c r="S6" s="659">
        <v>0</v>
      </c>
      <c r="T6" s="660">
        <v>0</v>
      </c>
      <c r="U6" s="660">
        <v>0</v>
      </c>
      <c r="V6" s="660">
        <v>0</v>
      </c>
      <c r="W6" s="645">
        <f t="shared" si="2"/>
        <v>1</v>
      </c>
      <c r="X6" s="660">
        <v>0</v>
      </c>
      <c r="Y6" s="649">
        <f>E6-Z6</f>
        <v>2850900.200000003</v>
      </c>
      <c r="Z6" s="648">
        <v>56350552.799999997</v>
      </c>
      <c r="AA6" s="661">
        <f t="shared" si="4"/>
        <v>0.95184408396192566</v>
      </c>
      <c r="AB6" s="647">
        <f t="shared" si="0"/>
        <v>56350552.799999997</v>
      </c>
      <c r="AC6" s="650" t="s">
        <v>1250</v>
      </c>
      <c r="AD6" s="651">
        <v>1</v>
      </c>
      <c r="AE6" s="662">
        <v>66294768</v>
      </c>
      <c r="AF6" s="662" t="s">
        <v>1245</v>
      </c>
      <c r="AG6" s="654">
        <v>56350552.799999997</v>
      </c>
      <c r="AH6" s="651">
        <v>0</v>
      </c>
      <c r="AI6" s="651">
        <v>0</v>
      </c>
      <c r="AJ6" s="654">
        <v>0</v>
      </c>
      <c r="AK6" s="1328">
        <f t="shared" si="5"/>
        <v>56350552.799999997</v>
      </c>
      <c r="AL6" s="662">
        <v>23214352.629999999</v>
      </c>
      <c r="AM6" s="654">
        <v>22435612.300000001</v>
      </c>
      <c r="AN6" s="654">
        <v>18755623.449999999</v>
      </c>
      <c r="AO6" s="655">
        <v>15942279.720000001</v>
      </c>
    </row>
    <row r="7" spans="1:53" s="656" customFormat="1" ht="102.2" customHeight="1" x14ac:dyDescent="0.3">
      <c r="A7" s="636" t="s">
        <v>1252</v>
      </c>
      <c r="B7" s="637" t="s">
        <v>1247</v>
      </c>
      <c r="C7" s="638" t="s">
        <v>1253</v>
      </c>
      <c r="D7" s="639" t="s">
        <v>1254</v>
      </c>
      <c r="E7" s="663">
        <v>531432873.56</v>
      </c>
      <c r="F7" s="641">
        <v>0</v>
      </c>
      <c r="G7" s="641">
        <v>30</v>
      </c>
      <c r="H7" s="641">
        <v>0</v>
      </c>
      <c r="I7" s="642">
        <v>0</v>
      </c>
      <c r="J7" s="642">
        <v>0</v>
      </c>
      <c r="K7" s="642">
        <v>0</v>
      </c>
      <c r="L7" s="643">
        <f t="shared" si="1"/>
        <v>30</v>
      </c>
      <c r="M7" s="644">
        <v>1621473187.8010001</v>
      </c>
      <c r="N7" s="644">
        <v>2296574464.8600001</v>
      </c>
      <c r="O7" s="642">
        <v>30</v>
      </c>
      <c r="P7" s="642">
        <v>0</v>
      </c>
      <c r="Q7" s="641">
        <v>0</v>
      </c>
      <c r="R7" s="641">
        <v>0</v>
      </c>
      <c r="S7" s="641">
        <v>0</v>
      </c>
      <c r="T7" s="642">
        <v>3</v>
      </c>
      <c r="U7" s="642">
        <v>6</v>
      </c>
      <c r="V7" s="642">
        <v>0</v>
      </c>
      <c r="W7" s="645">
        <f t="shared" si="2"/>
        <v>9</v>
      </c>
      <c r="X7" s="642">
        <v>21</v>
      </c>
      <c r="Y7" s="649">
        <f>E7-Z7</f>
        <v>36903873.839999974</v>
      </c>
      <c r="Z7" s="664">
        <v>494528999.72000003</v>
      </c>
      <c r="AA7" s="661">
        <f t="shared" si="4"/>
        <v>0.93055778880823514</v>
      </c>
      <c r="AB7" s="647">
        <f t="shared" si="0"/>
        <v>54947666.635555558</v>
      </c>
      <c r="AC7" s="665" t="s">
        <v>1255</v>
      </c>
      <c r="AD7" s="651">
        <v>9</v>
      </c>
      <c r="AE7" s="662">
        <v>834406402.38999999</v>
      </c>
      <c r="AF7" s="651">
        <f>31+74</f>
        <v>105</v>
      </c>
      <c r="AG7" s="644">
        <v>494528999.72000003</v>
      </c>
      <c r="AH7" s="651">
        <v>0</v>
      </c>
      <c r="AI7" s="651">
        <v>0</v>
      </c>
      <c r="AJ7" s="654">
        <v>0</v>
      </c>
      <c r="AK7" s="1328">
        <f t="shared" si="5"/>
        <v>494528999.72000003</v>
      </c>
      <c r="AL7" s="654">
        <v>107408009.5</v>
      </c>
      <c r="AM7" s="654">
        <v>111066902.12</v>
      </c>
      <c r="AN7" s="654">
        <v>0</v>
      </c>
      <c r="AO7" s="654">
        <v>0</v>
      </c>
    </row>
    <row r="8" spans="1:53" ht="160.5" customHeight="1" x14ac:dyDescent="0.3">
      <c r="A8" s="636" t="s">
        <v>1256</v>
      </c>
      <c r="B8" s="637" t="s">
        <v>1240</v>
      </c>
      <c r="C8" s="638" t="s">
        <v>1241</v>
      </c>
      <c r="D8" s="666" t="s">
        <v>1257</v>
      </c>
      <c r="E8" s="657">
        <v>1708381956.74</v>
      </c>
      <c r="F8" s="659">
        <v>0</v>
      </c>
      <c r="G8" s="659">
        <v>0</v>
      </c>
      <c r="H8" s="659">
        <v>0</v>
      </c>
      <c r="I8" s="660">
        <v>0</v>
      </c>
      <c r="J8" s="660">
        <v>360</v>
      </c>
      <c r="K8" s="660">
        <v>0</v>
      </c>
      <c r="L8" s="643">
        <f t="shared" si="1"/>
        <v>360</v>
      </c>
      <c r="M8" s="644">
        <v>3391081668.02</v>
      </c>
      <c r="N8" s="644">
        <v>6085722538.0200005</v>
      </c>
      <c r="O8" s="660">
        <v>302</v>
      </c>
      <c r="P8" s="660">
        <v>58</v>
      </c>
      <c r="Q8" s="659">
        <v>0</v>
      </c>
      <c r="R8" s="659">
        <v>0</v>
      </c>
      <c r="S8" s="659">
        <v>0</v>
      </c>
      <c r="T8" s="660">
        <v>0</v>
      </c>
      <c r="U8" s="660">
        <v>112</v>
      </c>
      <c r="V8" s="660">
        <v>1</v>
      </c>
      <c r="W8" s="645">
        <f t="shared" si="2"/>
        <v>113</v>
      </c>
      <c r="X8" s="660">
        <v>189</v>
      </c>
      <c r="Y8" s="667">
        <f>E8-Z4-Z8</f>
        <v>-59236882.789999962</v>
      </c>
      <c r="Z8" s="979">
        <v>1083781509.23</v>
      </c>
      <c r="AA8" s="661">
        <f>(Z4+Z8)/E8</f>
        <v>1.0346742615468956</v>
      </c>
      <c r="AB8" s="647">
        <f t="shared" si="0"/>
        <v>9590986.8073451333</v>
      </c>
      <c r="AC8" s="669" t="s">
        <v>2051</v>
      </c>
      <c r="AD8" s="658">
        <v>99</v>
      </c>
      <c r="AE8" s="662">
        <v>1755062179.27</v>
      </c>
      <c r="AF8" s="670" t="s">
        <v>1245</v>
      </c>
      <c r="AG8" s="644">
        <v>953763919.96000004</v>
      </c>
      <c r="AH8" s="658">
        <v>0</v>
      </c>
      <c r="AI8" s="658">
        <v>0</v>
      </c>
      <c r="AJ8" s="654">
        <v>0</v>
      </c>
      <c r="AK8" s="1328">
        <f t="shared" si="5"/>
        <v>953763919.96000004</v>
      </c>
      <c r="AL8" s="644">
        <v>70014644.219999999</v>
      </c>
      <c r="AM8" s="644">
        <v>82623976.739999995</v>
      </c>
      <c r="AN8" s="671">
        <v>0</v>
      </c>
      <c r="AO8" s="654">
        <v>0</v>
      </c>
    </row>
    <row r="9" spans="1:53" s="679" customFormat="1" ht="39.950000000000003" customHeight="1" thickBot="1" x14ac:dyDescent="0.35">
      <c r="A9" s="672" t="s">
        <v>1258</v>
      </c>
      <c r="B9" s="673"/>
      <c r="C9" s="674"/>
      <c r="D9" s="675">
        <f>309870000*7.6</f>
        <v>2355012000</v>
      </c>
      <c r="E9" s="675">
        <f>SUM(E4:E8)</f>
        <v>2358217736.3000002</v>
      </c>
      <c r="F9" s="676">
        <f>SUM(F4:F8)</f>
        <v>53</v>
      </c>
      <c r="G9" s="676">
        <f t="shared" ref="G9:L9" si="6">SUM(G4:G8)</f>
        <v>134</v>
      </c>
      <c r="H9" s="676">
        <f t="shared" si="6"/>
        <v>0</v>
      </c>
      <c r="I9" s="676">
        <f t="shared" si="6"/>
        <v>0</v>
      </c>
      <c r="J9" s="676">
        <f t="shared" si="6"/>
        <v>360</v>
      </c>
      <c r="K9" s="676">
        <f t="shared" si="6"/>
        <v>0</v>
      </c>
      <c r="L9" s="676">
        <f t="shared" si="6"/>
        <v>547</v>
      </c>
      <c r="M9" s="676">
        <f>SUM(M4:M8)</f>
        <v>6657606065.5310001</v>
      </c>
      <c r="N9" s="676">
        <f t="shared" ref="N9:U9" si="7">SUM(N4:N8)</f>
        <v>10954039352.690001</v>
      </c>
      <c r="O9" s="676">
        <f t="shared" si="7"/>
        <v>489</v>
      </c>
      <c r="P9" s="676">
        <f t="shared" si="7"/>
        <v>58</v>
      </c>
      <c r="Q9" s="676">
        <f t="shared" si="7"/>
        <v>2</v>
      </c>
      <c r="R9" s="676">
        <f t="shared" si="7"/>
        <v>38</v>
      </c>
      <c r="S9" s="676">
        <f t="shared" si="7"/>
        <v>49</v>
      </c>
      <c r="T9" s="676">
        <f t="shared" si="7"/>
        <v>3</v>
      </c>
      <c r="U9" s="676">
        <f t="shared" si="7"/>
        <v>118</v>
      </c>
      <c r="V9" s="676">
        <f>SUM(V4:V8)</f>
        <v>1</v>
      </c>
      <c r="W9" s="676">
        <f t="shared" ref="W9" si="8">SUM(W4:W8)</f>
        <v>211</v>
      </c>
      <c r="X9" s="676">
        <f>SUM(X4:X8)</f>
        <v>278</v>
      </c>
      <c r="Y9" s="677">
        <f>SUM(Y5:Y8)</f>
        <v>-17650613.549999982</v>
      </c>
      <c r="Z9" s="677">
        <f>SUM(Z4:Z8)</f>
        <v>2375868349.8499999</v>
      </c>
      <c r="AA9" s="678">
        <f>Z9/E9</f>
        <v>1.0074847259768698</v>
      </c>
      <c r="AB9" s="677">
        <f>Z9/W9</f>
        <v>11260039.572748816</v>
      </c>
      <c r="AC9" s="675"/>
      <c r="AD9" s="674">
        <f t="shared" ref="AD9:AO9" si="9">SUM(AD4:AD8)</f>
        <v>197</v>
      </c>
      <c r="AE9" s="677">
        <f t="shared" si="9"/>
        <v>4035241410.3000002</v>
      </c>
      <c r="AF9" s="676">
        <f t="shared" si="9"/>
        <v>105</v>
      </c>
      <c r="AG9" s="677">
        <f t="shared" si="9"/>
        <v>2245850760.5799999</v>
      </c>
      <c r="AH9" s="674">
        <f t="shared" si="9"/>
        <v>35</v>
      </c>
      <c r="AI9" s="674">
        <f t="shared" si="9"/>
        <v>6</v>
      </c>
      <c r="AJ9" s="677">
        <f>SUM(AJ4:AJ8)</f>
        <v>25484967.739999998</v>
      </c>
      <c r="AK9" s="677">
        <f>SUM(AK4:AK8)</f>
        <v>2220365792.8400002</v>
      </c>
      <c r="AL9" s="677">
        <f t="shared" si="9"/>
        <v>1073992942.05</v>
      </c>
      <c r="AM9" s="677">
        <f t="shared" si="9"/>
        <v>743806410.10000002</v>
      </c>
      <c r="AN9" s="677">
        <f t="shared" si="9"/>
        <v>811964978.85000002</v>
      </c>
      <c r="AO9" s="677">
        <f t="shared" si="9"/>
        <v>690170222.6400001</v>
      </c>
    </row>
    <row r="10" spans="1:53" x14ac:dyDescent="0.3">
      <c r="BA10" s="618" t="s">
        <v>1259</v>
      </c>
    </row>
    <row r="11" spans="1:53" s="622" customFormat="1" ht="24" thickBot="1" x14ac:dyDescent="0.35">
      <c r="A11" s="1530" t="s">
        <v>1260</v>
      </c>
      <c r="B11" s="1530"/>
      <c r="C11" s="1530"/>
      <c r="D11" s="1530"/>
      <c r="E11" s="620"/>
      <c r="F11" s="1531" t="s">
        <v>1199</v>
      </c>
      <c r="G11" s="1531"/>
      <c r="H11" s="1531"/>
      <c r="I11" s="1531"/>
      <c r="J11" s="1531"/>
      <c r="K11" s="1531"/>
      <c r="L11" s="1531"/>
      <c r="M11" s="1531"/>
      <c r="N11" s="1531"/>
      <c r="O11" s="1531"/>
      <c r="P11" s="1531"/>
      <c r="Q11" s="1531"/>
      <c r="R11" s="1531"/>
      <c r="S11" s="1531"/>
      <c r="T11" s="1531"/>
      <c r="U11" s="1531"/>
      <c r="V11" s="1531"/>
      <c r="W11" s="1531"/>
      <c r="X11" s="1531"/>
      <c r="Y11" s="1531"/>
      <c r="Z11" s="1531"/>
      <c r="AA11" s="1531"/>
      <c r="AB11" s="1531"/>
      <c r="AC11" s="621"/>
      <c r="AD11" s="1532" t="s">
        <v>1200</v>
      </c>
      <c r="AE11" s="1532"/>
      <c r="AF11" s="1532"/>
      <c r="AG11" s="1532"/>
      <c r="AH11" s="1533" t="s">
        <v>1201</v>
      </c>
      <c r="AI11" s="1533"/>
      <c r="AJ11" s="1533"/>
      <c r="AK11" s="1533"/>
      <c r="AL11" s="1533"/>
      <c r="AM11" s="1529" t="s">
        <v>1202</v>
      </c>
      <c r="AN11" s="1529"/>
      <c r="AO11" s="1529"/>
    </row>
    <row r="12" spans="1:53" ht="90" customHeight="1" x14ac:dyDescent="0.3">
      <c r="A12" s="623" t="s">
        <v>72</v>
      </c>
      <c r="B12" s="624" t="s">
        <v>3</v>
      </c>
      <c r="C12" s="625" t="s">
        <v>1203</v>
      </c>
      <c r="D12" s="625" t="s">
        <v>1204</v>
      </c>
      <c r="E12" s="625" t="s">
        <v>1205</v>
      </c>
      <c r="F12" s="626" t="s">
        <v>1261</v>
      </c>
      <c r="G12" s="626" t="s">
        <v>1207</v>
      </c>
      <c r="H12" s="626" t="s">
        <v>1208</v>
      </c>
      <c r="I12" s="626" t="s">
        <v>1209</v>
      </c>
      <c r="J12" s="626" t="s">
        <v>1210</v>
      </c>
      <c r="K12" s="626" t="s">
        <v>1211</v>
      </c>
      <c r="L12" s="627" t="s">
        <v>1212</v>
      </c>
      <c r="M12" s="627" t="s">
        <v>1213</v>
      </c>
      <c r="N12" s="627" t="s">
        <v>1214</v>
      </c>
      <c r="O12" s="627" t="s">
        <v>1215</v>
      </c>
      <c r="P12" s="627" t="s">
        <v>1216</v>
      </c>
      <c r="Q12" s="626" t="s">
        <v>1217</v>
      </c>
      <c r="R12" s="626" t="s">
        <v>1218</v>
      </c>
      <c r="S12" s="626" t="s">
        <v>1219</v>
      </c>
      <c r="T12" s="626" t="s">
        <v>1220</v>
      </c>
      <c r="U12" s="626" t="s">
        <v>1221</v>
      </c>
      <c r="V12" s="626" t="s">
        <v>1222</v>
      </c>
      <c r="W12" s="627" t="s">
        <v>1223</v>
      </c>
      <c r="X12" s="627" t="s">
        <v>1224</v>
      </c>
      <c r="Y12" s="626" t="str">
        <f>Y3</f>
        <v>Preostalo u odnosu na objavljenu alokaciju/program</v>
      </c>
      <c r="Z12" s="627" t="s">
        <v>1226</v>
      </c>
      <c r="AA12" s="680" t="str">
        <f>AA3</f>
        <v>Iskorištenost (OoF/Objavljeno)</v>
      </c>
      <c r="AB12" s="681" t="str">
        <f>AB3</f>
        <v>Prosječni iznos dodijeljene potpore</v>
      </c>
      <c r="AC12" s="628" t="s">
        <v>76</v>
      </c>
      <c r="AD12" s="629" t="s">
        <v>1229</v>
      </c>
      <c r="AE12" s="629" t="s">
        <v>1230</v>
      </c>
      <c r="AF12" s="630" t="str">
        <f>AF3</f>
        <v>Planirani broj novozaposlenih</v>
      </c>
      <c r="AG12" s="629" t="s">
        <v>1232</v>
      </c>
      <c r="AH12" s="631" t="s">
        <v>1233</v>
      </c>
      <c r="AI12" s="632" t="s">
        <v>1234</v>
      </c>
      <c r="AJ12" s="632" t="s">
        <v>2145</v>
      </c>
      <c r="AK12" s="632" t="s">
        <v>2146</v>
      </c>
      <c r="AL12" s="631" t="s">
        <v>1235</v>
      </c>
      <c r="AM12" s="633" t="s">
        <v>1236</v>
      </c>
      <c r="AN12" s="682" t="s">
        <v>1237</v>
      </c>
      <c r="AO12" s="682" t="s">
        <v>1262</v>
      </c>
    </row>
    <row r="13" spans="1:53" ht="75.75" customHeight="1" x14ac:dyDescent="0.3">
      <c r="A13" s="683" t="s">
        <v>1263</v>
      </c>
      <c r="B13" s="684" t="s">
        <v>1264</v>
      </c>
      <c r="C13" s="658" t="s">
        <v>1241</v>
      </c>
      <c r="D13" s="639" t="s">
        <v>1265</v>
      </c>
      <c r="E13" s="640" t="s">
        <v>1266</v>
      </c>
      <c r="F13" s="659">
        <v>62</v>
      </c>
      <c r="G13" s="659">
        <v>0</v>
      </c>
      <c r="H13" s="659">
        <v>0</v>
      </c>
      <c r="I13" s="660">
        <v>0</v>
      </c>
      <c r="J13" s="660">
        <v>0</v>
      </c>
      <c r="K13" s="660">
        <v>0</v>
      </c>
      <c r="L13" s="643">
        <f>SUM(F13:K13)</f>
        <v>62</v>
      </c>
      <c r="M13" s="644">
        <v>331080219.80000001</v>
      </c>
      <c r="N13" s="644">
        <v>1017152286.54</v>
      </c>
      <c r="O13" s="658">
        <v>62</v>
      </c>
      <c r="P13" s="660">
        <v>0</v>
      </c>
      <c r="Q13" s="659">
        <v>39</v>
      </c>
      <c r="R13" s="659">
        <v>0</v>
      </c>
      <c r="S13" s="659">
        <v>0</v>
      </c>
      <c r="T13" s="660">
        <v>0</v>
      </c>
      <c r="U13" s="660">
        <v>0</v>
      </c>
      <c r="V13" s="660">
        <v>0</v>
      </c>
      <c r="W13" s="659">
        <f>SUM(Q13:V13)</f>
        <v>39</v>
      </c>
      <c r="X13" s="660">
        <v>23</v>
      </c>
      <c r="Y13" s="669" t="str">
        <f>E13</f>
        <v>Ista alokacija P1, P2, P6, P15</v>
      </c>
      <c r="Z13" s="669">
        <v>222023409.61000001</v>
      </c>
      <c r="AA13" s="640" t="str">
        <f>E13</f>
        <v>Ista alokacija P1, P2, P6, P15</v>
      </c>
      <c r="AB13" s="647">
        <f t="shared" ref="AB13:AB19" si="10">Z13/W13</f>
        <v>5692907.9387179492</v>
      </c>
      <c r="AC13" s="650" t="s">
        <v>1250</v>
      </c>
      <c r="AD13" s="658">
        <v>39</v>
      </c>
      <c r="AE13" s="644">
        <v>720163656.95000005</v>
      </c>
      <c r="AF13" s="670">
        <v>617</v>
      </c>
      <c r="AG13" s="644">
        <v>222023409.61000001</v>
      </c>
      <c r="AH13" s="658">
        <v>38</v>
      </c>
      <c r="AI13" s="658">
        <v>1</v>
      </c>
      <c r="AJ13" s="644">
        <v>7896087.1900000004</v>
      </c>
      <c r="AK13" s="1328">
        <f t="shared" ref="AK13:AK41" si="11">AG13-AJ13</f>
        <v>214127322.42000002</v>
      </c>
      <c r="AL13" s="685">
        <v>524521934.42000002</v>
      </c>
      <c r="AM13" s="686">
        <v>203326382.53999999</v>
      </c>
      <c r="AN13" s="687">
        <v>525163052.63</v>
      </c>
      <c r="AO13" s="688">
        <v>446388591.05000001</v>
      </c>
      <c r="AP13" s="689"/>
    </row>
    <row r="14" spans="1:53" ht="78.75" customHeight="1" x14ac:dyDescent="0.3">
      <c r="A14" s="690" t="s">
        <v>1267</v>
      </c>
      <c r="B14" s="684" t="s">
        <v>1264</v>
      </c>
      <c r="C14" s="658" t="s">
        <v>1241</v>
      </c>
      <c r="D14" s="639" t="s">
        <v>1265</v>
      </c>
      <c r="E14" s="640" t="s">
        <v>1266</v>
      </c>
      <c r="F14" s="659">
        <v>80</v>
      </c>
      <c r="G14" s="659">
        <v>0</v>
      </c>
      <c r="H14" s="659">
        <v>0</v>
      </c>
      <c r="I14" s="660">
        <v>0</v>
      </c>
      <c r="J14" s="660">
        <v>0</v>
      </c>
      <c r="K14" s="660">
        <v>0</v>
      </c>
      <c r="L14" s="643">
        <f t="shared" ref="L14:L41" si="12">SUM(F14:K14)</f>
        <v>80</v>
      </c>
      <c r="M14" s="644">
        <v>146446557.93000001</v>
      </c>
      <c r="N14" s="644">
        <v>428587498.16000003</v>
      </c>
      <c r="O14" s="658">
        <v>80</v>
      </c>
      <c r="P14" s="660">
        <v>0</v>
      </c>
      <c r="Q14" s="659">
        <v>28</v>
      </c>
      <c r="R14" s="659">
        <v>1</v>
      </c>
      <c r="S14" s="659">
        <v>0</v>
      </c>
      <c r="T14" s="660">
        <v>0</v>
      </c>
      <c r="U14" s="660">
        <v>0</v>
      </c>
      <c r="V14" s="660">
        <v>0</v>
      </c>
      <c r="W14" s="659">
        <f t="shared" ref="W14:W41" si="13">SUM(Q14:V14)</f>
        <v>29</v>
      </c>
      <c r="X14" s="660">
        <v>51</v>
      </c>
      <c r="Y14" s="669" t="str">
        <f>E14</f>
        <v>Ista alokacija P1, P2, P6, P15</v>
      </c>
      <c r="Z14" s="669">
        <v>62939386.140000008</v>
      </c>
      <c r="AA14" s="640" t="str">
        <f>E13</f>
        <v>Ista alokacija P1, P2, P6, P15</v>
      </c>
      <c r="AB14" s="647">
        <f t="shared" si="10"/>
        <v>2170323.66</v>
      </c>
      <c r="AC14" s="650" t="s">
        <v>1268</v>
      </c>
      <c r="AD14" s="658">
        <v>27</v>
      </c>
      <c r="AE14" s="644">
        <v>173108272.10999998</v>
      </c>
      <c r="AF14" s="670">
        <v>286</v>
      </c>
      <c r="AG14" s="644">
        <v>57479977.419999994</v>
      </c>
      <c r="AH14" s="658">
        <v>27</v>
      </c>
      <c r="AI14" s="658">
        <v>0</v>
      </c>
      <c r="AJ14" s="644">
        <v>0</v>
      </c>
      <c r="AK14" s="1328">
        <f t="shared" si="11"/>
        <v>57479977.419999994</v>
      </c>
      <c r="AL14" s="685">
        <v>133558366.98</v>
      </c>
      <c r="AM14" s="686">
        <v>54372406.82</v>
      </c>
      <c r="AN14" s="687">
        <v>133558366.98</v>
      </c>
      <c r="AO14" s="688">
        <v>113524611.02</v>
      </c>
      <c r="AP14" s="689"/>
    </row>
    <row r="15" spans="1:53" ht="120.75" customHeight="1" x14ac:dyDescent="0.3">
      <c r="A15" s="683" t="s">
        <v>1269</v>
      </c>
      <c r="B15" s="684" t="s">
        <v>1264</v>
      </c>
      <c r="C15" s="658" t="s">
        <v>1270</v>
      </c>
      <c r="D15" s="639" t="s">
        <v>1271</v>
      </c>
      <c r="E15" s="691">
        <v>110000000</v>
      </c>
      <c r="F15" s="659">
        <v>386</v>
      </c>
      <c r="G15" s="659">
        <v>0</v>
      </c>
      <c r="H15" s="659">
        <v>0</v>
      </c>
      <c r="I15" s="660">
        <v>0</v>
      </c>
      <c r="J15" s="660">
        <v>0</v>
      </c>
      <c r="K15" s="660">
        <v>0</v>
      </c>
      <c r="L15" s="643">
        <f t="shared" si="12"/>
        <v>386</v>
      </c>
      <c r="M15" s="644">
        <v>168232054.62</v>
      </c>
      <c r="N15" s="644">
        <v>219609132</v>
      </c>
      <c r="O15" s="660">
        <v>386</v>
      </c>
      <c r="P15" s="660">
        <v>0</v>
      </c>
      <c r="Q15" s="659">
        <v>213</v>
      </c>
      <c r="R15" s="659">
        <v>15</v>
      </c>
      <c r="S15" s="659">
        <v>0</v>
      </c>
      <c r="T15" s="660">
        <v>0</v>
      </c>
      <c r="U15" s="660">
        <v>0</v>
      </c>
      <c r="V15" s="660">
        <v>0</v>
      </c>
      <c r="W15" s="659">
        <f t="shared" si="13"/>
        <v>228</v>
      </c>
      <c r="X15" s="660">
        <v>158</v>
      </c>
      <c r="Y15" s="647">
        <f>E15-Z15</f>
        <v>7487323.1700000018</v>
      </c>
      <c r="Z15" s="648">
        <v>102512676.83</v>
      </c>
      <c r="AA15" s="661">
        <f>Z15/E15</f>
        <v>0.93193342572727267</v>
      </c>
      <c r="AB15" s="647">
        <f t="shared" si="10"/>
        <v>449617.00364035089</v>
      </c>
      <c r="AC15" s="650" t="s">
        <v>1268</v>
      </c>
      <c r="AD15" s="658">
        <v>228</v>
      </c>
      <c r="AE15" s="644">
        <v>133978441.58000003</v>
      </c>
      <c r="AF15" s="670">
        <v>1523.64</v>
      </c>
      <c r="AG15" s="644">
        <v>102512676.82999995</v>
      </c>
      <c r="AH15" s="658">
        <v>218</v>
      </c>
      <c r="AI15" s="658">
        <v>10</v>
      </c>
      <c r="AJ15" s="644">
        <v>3354191.45</v>
      </c>
      <c r="AK15" s="1328">
        <f t="shared" si="11"/>
        <v>99158485.379999951</v>
      </c>
      <c r="AL15" s="685">
        <v>108141025.81</v>
      </c>
      <c r="AM15" s="686">
        <v>95101989.760000005</v>
      </c>
      <c r="AN15" s="687">
        <v>108652482.59999999</v>
      </c>
      <c r="AO15" s="688">
        <v>92354609.560000002</v>
      </c>
      <c r="AP15" s="689"/>
    </row>
    <row r="16" spans="1:53" ht="72.75" customHeight="1" x14ac:dyDescent="0.3">
      <c r="A16" s="683" t="s">
        <v>1272</v>
      </c>
      <c r="B16" s="684" t="s">
        <v>1264</v>
      </c>
      <c r="C16" s="658" t="s">
        <v>1241</v>
      </c>
      <c r="D16" s="639" t="s">
        <v>1273</v>
      </c>
      <c r="E16" s="691">
        <v>304000000</v>
      </c>
      <c r="F16" s="659">
        <v>64</v>
      </c>
      <c r="G16" s="659">
        <v>0</v>
      </c>
      <c r="H16" s="659">
        <v>0</v>
      </c>
      <c r="I16" s="660">
        <v>0</v>
      </c>
      <c r="J16" s="660">
        <v>0</v>
      </c>
      <c r="K16" s="660">
        <v>0</v>
      </c>
      <c r="L16" s="643">
        <f t="shared" si="12"/>
        <v>64</v>
      </c>
      <c r="M16" s="644">
        <v>397898090.61000001</v>
      </c>
      <c r="N16" s="644">
        <v>1733116420.3699999</v>
      </c>
      <c r="O16" s="660">
        <v>64</v>
      </c>
      <c r="P16" s="660">
        <v>0</v>
      </c>
      <c r="Q16" s="659">
        <v>8</v>
      </c>
      <c r="R16" s="659">
        <v>20</v>
      </c>
      <c r="S16" s="659">
        <v>0</v>
      </c>
      <c r="T16" s="660">
        <v>0</v>
      </c>
      <c r="U16" s="660">
        <v>0</v>
      </c>
      <c r="V16" s="660">
        <v>0</v>
      </c>
      <c r="W16" s="659">
        <f t="shared" si="13"/>
        <v>28</v>
      </c>
      <c r="X16" s="660">
        <v>36</v>
      </c>
      <c r="Y16" s="647">
        <f t="shared" ref="Y16:Y17" si="14">E16-Z16</f>
        <v>110279083.44999999</v>
      </c>
      <c r="Z16" s="669">
        <v>193720916.55000001</v>
      </c>
      <c r="AA16" s="661">
        <f>Z16/E16</f>
        <v>0.63723985707236841</v>
      </c>
      <c r="AB16" s="647">
        <f t="shared" si="10"/>
        <v>6918604.1625000006</v>
      </c>
      <c r="AC16" s="650" t="s">
        <v>1268</v>
      </c>
      <c r="AD16" s="658">
        <v>28</v>
      </c>
      <c r="AE16" s="644">
        <v>819370622.87</v>
      </c>
      <c r="AF16" s="670">
        <v>362</v>
      </c>
      <c r="AG16" s="644">
        <v>193720916.55130002</v>
      </c>
      <c r="AH16" s="658">
        <v>25</v>
      </c>
      <c r="AI16" s="658">
        <v>2</v>
      </c>
      <c r="AJ16" s="644">
        <v>8940042.5700000003</v>
      </c>
      <c r="AK16" s="1328">
        <f t="shared" si="11"/>
        <v>184780873.98130003</v>
      </c>
      <c r="AL16" s="685">
        <v>562246377.60000002</v>
      </c>
      <c r="AM16" s="686">
        <v>174221213.34</v>
      </c>
      <c r="AN16" s="687">
        <v>505950551.58999997</v>
      </c>
      <c r="AO16" s="688">
        <v>430057965.31999999</v>
      </c>
      <c r="AP16" s="689"/>
    </row>
    <row r="17" spans="1:42" ht="60" customHeight="1" x14ac:dyDescent="0.3">
      <c r="A17" s="683" t="s">
        <v>1274</v>
      </c>
      <c r="B17" s="684" t="s">
        <v>1275</v>
      </c>
      <c r="C17" s="658" t="s">
        <v>1241</v>
      </c>
      <c r="D17" s="639" t="s">
        <v>1276</v>
      </c>
      <c r="E17" s="691">
        <v>74000000</v>
      </c>
      <c r="F17" s="659">
        <v>216</v>
      </c>
      <c r="G17" s="659">
        <v>0</v>
      </c>
      <c r="H17" s="659">
        <v>0</v>
      </c>
      <c r="I17" s="660">
        <v>0</v>
      </c>
      <c r="J17" s="660">
        <v>0</v>
      </c>
      <c r="K17" s="660">
        <v>0</v>
      </c>
      <c r="L17" s="643">
        <f t="shared" si="12"/>
        <v>216</v>
      </c>
      <c r="M17" s="644">
        <v>222867136.16</v>
      </c>
      <c r="N17" s="644">
        <v>281443798.13999999</v>
      </c>
      <c r="O17" s="660">
        <v>216</v>
      </c>
      <c r="P17" s="660">
        <v>0</v>
      </c>
      <c r="Q17" s="659">
        <v>2</v>
      </c>
      <c r="R17" s="659">
        <v>60</v>
      </c>
      <c r="S17" s="659">
        <v>1</v>
      </c>
      <c r="T17" s="660">
        <v>0</v>
      </c>
      <c r="U17" s="660">
        <v>0</v>
      </c>
      <c r="V17" s="660">
        <v>0</v>
      </c>
      <c r="W17" s="659">
        <f t="shared" si="13"/>
        <v>63</v>
      </c>
      <c r="X17" s="660">
        <v>153</v>
      </c>
      <c r="Y17" s="647">
        <f t="shared" si="14"/>
        <v>5975581.5900000036</v>
      </c>
      <c r="Z17" s="669">
        <v>68024418.409999996</v>
      </c>
      <c r="AA17" s="661">
        <f>Z17/E17</f>
        <v>0.91924889743243243</v>
      </c>
      <c r="AB17" s="647">
        <f t="shared" si="10"/>
        <v>1079752.6731746031</v>
      </c>
      <c r="AC17" s="650" t="s">
        <v>1268</v>
      </c>
      <c r="AD17" s="658">
        <v>63</v>
      </c>
      <c r="AE17" s="692">
        <v>86523921.280000001</v>
      </c>
      <c r="AF17" s="693">
        <f>319+2</f>
        <v>321</v>
      </c>
      <c r="AG17" s="694">
        <v>68024418.409999996</v>
      </c>
      <c r="AH17" s="658">
        <v>52</v>
      </c>
      <c r="AI17" s="658">
        <v>9</v>
      </c>
      <c r="AJ17" s="644">
        <v>7759304.2999999998</v>
      </c>
      <c r="AK17" s="1328">
        <f t="shared" si="11"/>
        <v>60265114.109999999</v>
      </c>
      <c r="AL17" s="685">
        <v>66239572.390000001</v>
      </c>
      <c r="AM17" s="686">
        <v>58260772.18</v>
      </c>
      <c r="AN17" s="687">
        <v>68074945.349999994</v>
      </c>
      <c r="AO17" s="688">
        <v>57863703.049999997</v>
      </c>
      <c r="AP17" s="695"/>
    </row>
    <row r="18" spans="1:42" ht="99" customHeight="1" x14ac:dyDescent="0.3">
      <c r="A18" s="683" t="s">
        <v>1277</v>
      </c>
      <c r="B18" s="684" t="s">
        <v>1264</v>
      </c>
      <c r="C18" s="658" t="s">
        <v>1241</v>
      </c>
      <c r="D18" s="639" t="s">
        <v>1278</v>
      </c>
      <c r="E18" s="640" t="s">
        <v>1266</v>
      </c>
      <c r="F18" s="659">
        <v>384</v>
      </c>
      <c r="G18" s="659">
        <v>0</v>
      </c>
      <c r="H18" s="659">
        <v>0</v>
      </c>
      <c r="I18" s="660">
        <v>0</v>
      </c>
      <c r="J18" s="660">
        <v>0</v>
      </c>
      <c r="K18" s="660">
        <v>0</v>
      </c>
      <c r="L18" s="643">
        <f t="shared" si="12"/>
        <v>384</v>
      </c>
      <c r="M18" s="644">
        <v>1310550665.6500001</v>
      </c>
      <c r="N18" s="644">
        <v>3610398025.7600002</v>
      </c>
      <c r="O18" s="660">
        <v>384</v>
      </c>
      <c r="P18" s="660">
        <v>0</v>
      </c>
      <c r="Q18" s="659">
        <v>8</v>
      </c>
      <c r="R18" s="659">
        <v>180</v>
      </c>
      <c r="S18" s="659">
        <v>4</v>
      </c>
      <c r="T18" s="660">
        <v>0</v>
      </c>
      <c r="U18" s="660">
        <v>0</v>
      </c>
      <c r="V18" s="660">
        <v>0</v>
      </c>
      <c r="W18" s="659">
        <f t="shared" si="13"/>
        <v>192</v>
      </c>
      <c r="X18" s="660">
        <v>192</v>
      </c>
      <c r="Y18" s="647" t="str">
        <f>E13</f>
        <v>Ista alokacija P1, P2, P6, P15</v>
      </c>
      <c r="Z18" s="669">
        <v>866047618.20000005</v>
      </c>
      <c r="AA18" s="640" t="str">
        <f>E13</f>
        <v>Ista alokacija P1, P2, P6, P15</v>
      </c>
      <c r="AB18" s="647">
        <f t="shared" si="10"/>
        <v>4510664.6781250006</v>
      </c>
      <c r="AC18" s="650" t="s">
        <v>1250</v>
      </c>
      <c r="AD18" s="658">
        <v>191</v>
      </c>
      <c r="AE18" s="644">
        <v>2466358118.04</v>
      </c>
      <c r="AF18" s="670">
        <f>2730+1+10</f>
        <v>2741</v>
      </c>
      <c r="AG18" s="644">
        <v>855980062.67999995</v>
      </c>
      <c r="AH18" s="658">
        <v>177</v>
      </c>
      <c r="AI18" s="658">
        <v>12</v>
      </c>
      <c r="AJ18" s="644">
        <v>61108399.649999999</v>
      </c>
      <c r="AK18" s="1328">
        <f t="shared" si="11"/>
        <v>794871663.02999997</v>
      </c>
      <c r="AL18" s="685">
        <v>1841496910.45</v>
      </c>
      <c r="AM18" s="686">
        <v>742573604.47000003</v>
      </c>
      <c r="AN18" s="687">
        <v>1814660673.78</v>
      </c>
      <c r="AO18" s="688">
        <v>1542461560.01</v>
      </c>
      <c r="AP18" s="689"/>
    </row>
    <row r="19" spans="1:42" ht="75.2" customHeight="1" x14ac:dyDescent="0.3">
      <c r="A19" s="683" t="s">
        <v>1279</v>
      </c>
      <c r="B19" s="684" t="s">
        <v>1264</v>
      </c>
      <c r="C19" s="658" t="s">
        <v>1270</v>
      </c>
      <c r="D19" s="639" t="s">
        <v>1280</v>
      </c>
      <c r="E19" s="691">
        <v>250000000</v>
      </c>
      <c r="F19" s="659">
        <v>2099</v>
      </c>
      <c r="G19" s="659">
        <v>0</v>
      </c>
      <c r="H19" s="659">
        <v>0</v>
      </c>
      <c r="I19" s="660">
        <v>0</v>
      </c>
      <c r="J19" s="660">
        <v>0</v>
      </c>
      <c r="K19" s="660">
        <v>0</v>
      </c>
      <c r="L19" s="643">
        <f t="shared" si="12"/>
        <v>2099</v>
      </c>
      <c r="M19" s="644">
        <v>455070859</v>
      </c>
      <c r="N19" s="644">
        <v>806843794.60000002</v>
      </c>
      <c r="O19" s="660">
        <v>2099</v>
      </c>
      <c r="P19" s="658">
        <v>0</v>
      </c>
      <c r="Q19" s="643">
        <v>0</v>
      </c>
      <c r="R19" s="643">
        <f>1024-10</f>
        <v>1014</v>
      </c>
      <c r="S19" s="659">
        <v>65</v>
      </c>
      <c r="T19" s="660">
        <v>4</v>
      </c>
      <c r="U19" s="660">
        <v>0</v>
      </c>
      <c r="V19" s="660">
        <v>0</v>
      </c>
      <c r="W19" s="659">
        <f t="shared" si="13"/>
        <v>1083</v>
      </c>
      <c r="X19" s="658">
        <v>978</v>
      </c>
      <c r="Y19" s="667">
        <f t="shared" ref="Y19:Y37" si="15">E19-Z19</f>
        <v>60554.060000002384</v>
      </c>
      <c r="Z19" s="669">
        <v>249939445.94</v>
      </c>
      <c r="AA19" s="661">
        <f t="shared" ref="AA19:AA43" si="16">Z19/E19</f>
        <v>0.99975778376000002</v>
      </c>
      <c r="AB19" s="647">
        <f t="shared" si="10"/>
        <v>230784.34528162511</v>
      </c>
      <c r="AC19" s="696" t="s">
        <v>1250</v>
      </c>
      <c r="AD19" s="658">
        <v>1083</v>
      </c>
      <c r="AE19" s="644">
        <v>455973994.31</v>
      </c>
      <c r="AF19" s="670">
        <f>2741.2+20+2+1+1+4+1+8+1+1+6+0+1+2+2+2+2+3+2+2+2+2+1+2+3+2+2+4+4+1+1+2+4+2+1+1</f>
        <v>2836.2</v>
      </c>
      <c r="AG19" s="644">
        <v>249939445.94</v>
      </c>
      <c r="AH19" s="658">
        <v>1019</v>
      </c>
      <c r="AI19" s="658">
        <v>63</v>
      </c>
      <c r="AJ19" s="644">
        <v>15741082.08</v>
      </c>
      <c r="AK19" s="1328">
        <f t="shared" si="11"/>
        <v>234198363.85999998</v>
      </c>
      <c r="AL19" s="644">
        <v>329002545.92000002</v>
      </c>
      <c r="AM19" s="686">
        <v>223672312.63</v>
      </c>
      <c r="AN19" s="687">
        <v>312767998.81</v>
      </c>
      <c r="AO19" s="688">
        <v>265852796.74000001</v>
      </c>
    </row>
    <row r="20" spans="1:42" ht="60" customHeight="1" x14ac:dyDescent="0.3">
      <c r="A20" s="683" t="s">
        <v>1281</v>
      </c>
      <c r="B20" s="684" t="s">
        <v>1282</v>
      </c>
      <c r="C20" s="658" t="s">
        <v>1270</v>
      </c>
      <c r="D20" s="639" t="s">
        <v>1283</v>
      </c>
      <c r="E20" s="691">
        <v>640000000</v>
      </c>
      <c r="F20" s="659">
        <v>63</v>
      </c>
      <c r="G20" s="659">
        <v>0</v>
      </c>
      <c r="H20" s="659">
        <v>0</v>
      </c>
      <c r="I20" s="660">
        <v>0</v>
      </c>
      <c r="J20" s="660">
        <v>0</v>
      </c>
      <c r="K20" s="660">
        <v>0</v>
      </c>
      <c r="L20" s="643">
        <f t="shared" si="12"/>
        <v>63</v>
      </c>
      <c r="M20" s="644">
        <v>704605344.01999998</v>
      </c>
      <c r="N20" s="644">
        <v>833755022.00999999</v>
      </c>
      <c r="O20" s="660">
        <v>63</v>
      </c>
      <c r="P20" s="660">
        <v>0</v>
      </c>
      <c r="Q20" s="659">
        <v>0</v>
      </c>
      <c r="R20" s="659">
        <v>45</v>
      </c>
      <c r="S20" s="659">
        <v>3</v>
      </c>
      <c r="T20" s="660">
        <v>0</v>
      </c>
      <c r="U20" s="660">
        <v>0</v>
      </c>
      <c r="V20" s="660">
        <v>0</v>
      </c>
      <c r="W20" s="659">
        <f t="shared" si="13"/>
        <v>48</v>
      </c>
      <c r="X20" s="660">
        <v>15</v>
      </c>
      <c r="Y20" s="667">
        <f t="shared" si="15"/>
        <v>2020658.0299999714</v>
      </c>
      <c r="Z20" s="669">
        <v>637979341.97000003</v>
      </c>
      <c r="AA20" s="661">
        <f t="shared" si="16"/>
        <v>0.99684272182812506</v>
      </c>
      <c r="AB20" s="647">
        <f>Z20/W20</f>
        <v>13291236.291041667</v>
      </c>
      <c r="AC20" s="650" t="s">
        <v>1268</v>
      </c>
      <c r="AD20" s="658">
        <v>48</v>
      </c>
      <c r="AE20" s="644">
        <v>756977031.79999995</v>
      </c>
      <c r="AF20" s="670">
        <v>0</v>
      </c>
      <c r="AG20" s="644">
        <v>637979341.97000003</v>
      </c>
      <c r="AH20" s="658">
        <v>32</v>
      </c>
      <c r="AI20" s="658">
        <v>1</v>
      </c>
      <c r="AJ20" s="644">
        <v>19997475.809999999</v>
      </c>
      <c r="AK20" s="1328">
        <f t="shared" si="11"/>
        <v>617981866.16000009</v>
      </c>
      <c r="AL20" s="644">
        <v>568099930.30999994</v>
      </c>
      <c r="AM20" s="644">
        <v>513025711.83999997</v>
      </c>
      <c r="AN20" s="671">
        <v>411448658.76999998</v>
      </c>
      <c r="AO20" s="688">
        <v>349731357.08999997</v>
      </c>
    </row>
    <row r="21" spans="1:42" ht="79.5" customHeight="1" x14ac:dyDescent="0.3">
      <c r="A21" s="683" t="s">
        <v>1284</v>
      </c>
      <c r="B21" s="684" t="s">
        <v>1275</v>
      </c>
      <c r="C21" s="658" t="s">
        <v>1241</v>
      </c>
      <c r="D21" s="639" t="s">
        <v>1285</v>
      </c>
      <c r="E21" s="691">
        <v>114000000</v>
      </c>
      <c r="F21" s="659">
        <v>0</v>
      </c>
      <c r="G21" s="659">
        <v>66</v>
      </c>
      <c r="H21" s="659">
        <v>22</v>
      </c>
      <c r="I21" s="660">
        <v>0</v>
      </c>
      <c r="J21" s="660">
        <v>0</v>
      </c>
      <c r="K21" s="660">
        <v>0</v>
      </c>
      <c r="L21" s="643">
        <f t="shared" si="12"/>
        <v>88</v>
      </c>
      <c r="M21" s="644">
        <v>214808335.36000001</v>
      </c>
      <c r="N21" s="644">
        <v>472082916.85000002</v>
      </c>
      <c r="O21" s="660">
        <v>88</v>
      </c>
      <c r="P21" s="660">
        <v>0</v>
      </c>
      <c r="Q21" s="659">
        <v>0</v>
      </c>
      <c r="R21" s="659">
        <v>0</v>
      </c>
      <c r="S21" s="659">
        <v>20</v>
      </c>
      <c r="T21" s="660">
        <v>0</v>
      </c>
      <c r="U21" s="660">
        <v>0</v>
      </c>
      <c r="V21" s="660">
        <v>0</v>
      </c>
      <c r="W21" s="659">
        <f t="shared" si="13"/>
        <v>20</v>
      </c>
      <c r="X21" s="660">
        <v>68</v>
      </c>
      <c r="Y21" s="667">
        <f t="shared" si="15"/>
        <v>74890096.469999999</v>
      </c>
      <c r="Z21" s="648">
        <v>39109903.530000001</v>
      </c>
      <c r="AA21" s="661">
        <f t="shared" si="16"/>
        <v>0.34306932921052635</v>
      </c>
      <c r="AB21" s="647">
        <f>Z21/W21</f>
        <v>1955495.1765000001</v>
      </c>
      <c r="AC21" s="697" t="s">
        <v>1250</v>
      </c>
      <c r="AD21" s="658">
        <v>20</v>
      </c>
      <c r="AE21" s="644">
        <v>105251909.43000001</v>
      </c>
      <c r="AF21" s="670">
        <f>13+2+5+5+2+7+19+2+18+11+3+5+2+2+3+3+6+4+3+3+2</f>
        <v>120</v>
      </c>
      <c r="AG21" s="644">
        <v>39109903.530000001</v>
      </c>
      <c r="AH21" s="658">
        <v>15</v>
      </c>
      <c r="AI21" s="658">
        <v>1</v>
      </c>
      <c r="AJ21" s="644">
        <v>1493578.25</v>
      </c>
      <c r="AK21" s="1328">
        <f t="shared" si="11"/>
        <v>37616325.280000001</v>
      </c>
      <c r="AL21" s="644">
        <v>67369866.019999996</v>
      </c>
      <c r="AM21" s="644">
        <v>35267782.090000004</v>
      </c>
      <c r="AN21" s="671">
        <v>63573719.57</v>
      </c>
      <c r="AO21" s="688">
        <v>54037661.149999999</v>
      </c>
    </row>
    <row r="22" spans="1:42" ht="90" customHeight="1" x14ac:dyDescent="0.3">
      <c r="A22" s="683" t="s">
        <v>1286</v>
      </c>
      <c r="B22" s="684" t="s">
        <v>1264</v>
      </c>
      <c r="C22" s="658" t="s">
        <v>1241</v>
      </c>
      <c r="D22" s="639" t="s">
        <v>1287</v>
      </c>
      <c r="E22" s="691">
        <v>56000000</v>
      </c>
      <c r="F22" s="659">
        <v>0</v>
      </c>
      <c r="G22" s="659">
        <v>150</v>
      </c>
      <c r="H22" s="659">
        <v>0</v>
      </c>
      <c r="I22" s="660">
        <v>0</v>
      </c>
      <c r="J22" s="660">
        <v>0</v>
      </c>
      <c r="K22" s="660">
        <v>0</v>
      </c>
      <c r="L22" s="643">
        <f t="shared" si="12"/>
        <v>150</v>
      </c>
      <c r="M22" s="644">
        <v>75325264.390000001</v>
      </c>
      <c r="N22" s="644">
        <v>107769758.67</v>
      </c>
      <c r="O22" s="660">
        <v>150</v>
      </c>
      <c r="P22" s="660">
        <v>0</v>
      </c>
      <c r="Q22" s="659">
        <v>0</v>
      </c>
      <c r="R22" s="659">
        <v>23</v>
      </c>
      <c r="S22" s="659">
        <v>82</v>
      </c>
      <c r="T22" s="660">
        <v>0</v>
      </c>
      <c r="U22" s="660">
        <v>0</v>
      </c>
      <c r="V22" s="660">
        <v>0</v>
      </c>
      <c r="W22" s="659">
        <f t="shared" si="13"/>
        <v>105</v>
      </c>
      <c r="X22" s="660">
        <f>26+1</f>
        <v>27</v>
      </c>
      <c r="Y22" s="667">
        <f t="shared" si="15"/>
        <v>5155976.8400000036</v>
      </c>
      <c r="Z22" s="669">
        <v>50844023.159999996</v>
      </c>
      <c r="AA22" s="661">
        <f t="shared" si="16"/>
        <v>0.90792898499999997</v>
      </c>
      <c r="AB22" s="647">
        <f>Z22/W22</f>
        <v>484228.79199999996</v>
      </c>
      <c r="AC22" s="650" t="s">
        <v>1288</v>
      </c>
      <c r="AD22" s="658">
        <v>105</v>
      </c>
      <c r="AE22" s="644">
        <v>77175737.310000002</v>
      </c>
      <c r="AF22" s="670">
        <v>0</v>
      </c>
      <c r="AG22" s="644">
        <v>50844023.159999996</v>
      </c>
      <c r="AH22" s="658">
        <v>96</v>
      </c>
      <c r="AI22" s="658">
        <v>2</v>
      </c>
      <c r="AJ22" s="644">
        <v>668161.31999999995</v>
      </c>
      <c r="AK22" s="1328">
        <f t="shared" si="11"/>
        <v>50175861.839999996</v>
      </c>
      <c r="AL22" s="644">
        <v>51320706.189999998</v>
      </c>
      <c r="AM22" s="644">
        <v>39514393.140000001</v>
      </c>
      <c r="AN22" s="671">
        <v>50401254.32</v>
      </c>
      <c r="AO22" s="688">
        <v>42841065.840000004</v>
      </c>
    </row>
    <row r="23" spans="1:42" ht="85.7" customHeight="1" x14ac:dyDescent="0.3">
      <c r="A23" s="698" t="s">
        <v>1289</v>
      </c>
      <c r="B23" s="699" t="s">
        <v>1264</v>
      </c>
      <c r="C23" s="638" t="s">
        <v>1241</v>
      </c>
      <c r="D23" s="700" t="s">
        <v>1290</v>
      </c>
      <c r="E23" s="657">
        <v>38000000</v>
      </c>
      <c r="F23" s="659">
        <v>0</v>
      </c>
      <c r="G23" s="659">
        <v>84</v>
      </c>
      <c r="H23" s="659">
        <v>12</v>
      </c>
      <c r="I23" s="660">
        <v>0</v>
      </c>
      <c r="J23" s="660">
        <v>0</v>
      </c>
      <c r="K23" s="660">
        <v>0</v>
      </c>
      <c r="L23" s="643">
        <f t="shared" si="12"/>
        <v>96</v>
      </c>
      <c r="M23" s="644">
        <v>25877146.300000001</v>
      </c>
      <c r="N23" s="644">
        <v>36448643</v>
      </c>
      <c r="O23" s="660">
        <v>96</v>
      </c>
      <c r="P23" s="660">
        <v>0</v>
      </c>
      <c r="Q23" s="659">
        <v>0</v>
      </c>
      <c r="R23" s="659">
        <v>40</v>
      </c>
      <c r="S23" s="659">
        <v>45</v>
      </c>
      <c r="T23" s="660">
        <v>0</v>
      </c>
      <c r="U23" s="660">
        <v>0</v>
      </c>
      <c r="V23" s="660">
        <v>0</v>
      </c>
      <c r="W23" s="659">
        <f t="shared" si="13"/>
        <v>85</v>
      </c>
      <c r="X23" s="660">
        <v>11</v>
      </c>
      <c r="Y23" s="667">
        <f t="shared" si="15"/>
        <v>15185498.899999999</v>
      </c>
      <c r="Z23" s="648">
        <v>22814501.100000001</v>
      </c>
      <c r="AA23" s="661">
        <f t="shared" si="16"/>
        <v>0.60038160789473694</v>
      </c>
      <c r="AB23" s="647">
        <f>Z23/W23</f>
        <v>268405.89529411768</v>
      </c>
      <c r="AC23" s="696" t="s">
        <v>1268</v>
      </c>
      <c r="AD23" s="658">
        <v>85</v>
      </c>
      <c r="AE23" s="653">
        <v>33043889.489999998</v>
      </c>
      <c r="AF23" s="701">
        <v>4</v>
      </c>
      <c r="AG23" s="644">
        <v>22814501.100000001</v>
      </c>
      <c r="AH23" s="658">
        <v>68</v>
      </c>
      <c r="AI23" s="658">
        <v>17</v>
      </c>
      <c r="AJ23" s="644">
        <v>5218753.57</v>
      </c>
      <c r="AK23" s="1328">
        <f t="shared" si="11"/>
        <v>17595747.530000001</v>
      </c>
      <c r="AL23" s="644">
        <v>18282793.809999999</v>
      </c>
      <c r="AM23" s="644">
        <v>14697413.289999999</v>
      </c>
      <c r="AN23" s="671">
        <v>17832673.149999999</v>
      </c>
      <c r="AO23" s="688">
        <v>15157772.08</v>
      </c>
    </row>
    <row r="24" spans="1:42" ht="87" customHeight="1" x14ac:dyDescent="0.3">
      <c r="A24" s="698" t="s">
        <v>1291</v>
      </c>
      <c r="B24" s="684" t="s">
        <v>1282</v>
      </c>
      <c r="C24" s="638" t="s">
        <v>1270</v>
      </c>
      <c r="D24" s="700" t="s">
        <v>1292</v>
      </c>
      <c r="E24" s="657">
        <v>274651418</v>
      </c>
      <c r="F24" s="659">
        <v>0</v>
      </c>
      <c r="G24" s="659">
        <v>66</v>
      </c>
      <c r="H24" s="659">
        <v>0</v>
      </c>
      <c r="I24" s="660">
        <v>0</v>
      </c>
      <c r="J24" s="660">
        <v>0</v>
      </c>
      <c r="K24" s="660">
        <v>0</v>
      </c>
      <c r="L24" s="643">
        <f t="shared" si="12"/>
        <v>66</v>
      </c>
      <c r="M24" s="644">
        <v>375091291.38</v>
      </c>
      <c r="N24" s="644">
        <v>580720994.38999999</v>
      </c>
      <c r="O24" s="660">
        <v>66</v>
      </c>
      <c r="P24" s="660">
        <v>0</v>
      </c>
      <c r="Q24" s="659">
        <v>0</v>
      </c>
      <c r="R24" s="659">
        <v>0</v>
      </c>
      <c r="S24" s="659">
        <v>0</v>
      </c>
      <c r="T24" s="660">
        <v>46</v>
      </c>
      <c r="U24" s="660">
        <v>0</v>
      </c>
      <c r="V24" s="660">
        <v>0</v>
      </c>
      <c r="W24" s="659">
        <f t="shared" si="13"/>
        <v>46</v>
      </c>
      <c r="X24" s="660">
        <v>19</v>
      </c>
      <c r="Y24" s="667">
        <f t="shared" si="15"/>
        <v>6005250.7799999714</v>
      </c>
      <c r="Z24" s="648">
        <v>268646167.22000003</v>
      </c>
      <c r="AA24" s="661">
        <f t="shared" si="16"/>
        <v>0.97813500900985706</v>
      </c>
      <c r="AB24" s="647">
        <f t="shared" ref="AB24:AB43" si="17">Z24/W24</f>
        <v>5840134.0700000003</v>
      </c>
      <c r="AC24" s="696" t="s">
        <v>1268</v>
      </c>
      <c r="AD24" s="658">
        <v>46</v>
      </c>
      <c r="AE24" s="653">
        <v>425311489.10000002</v>
      </c>
      <c r="AF24" s="701">
        <v>0</v>
      </c>
      <c r="AG24" s="644">
        <v>265915689.75</v>
      </c>
      <c r="AH24" s="658">
        <v>6</v>
      </c>
      <c r="AI24" s="658">
        <v>2</v>
      </c>
      <c r="AJ24" s="644">
        <v>6031437.1799999997</v>
      </c>
      <c r="AK24" s="1328">
        <f t="shared" si="11"/>
        <v>259884252.56999999</v>
      </c>
      <c r="AL24" s="644">
        <v>140052450.21000001</v>
      </c>
      <c r="AM24" s="644">
        <v>114612049</v>
      </c>
      <c r="AN24" s="671">
        <v>11250</v>
      </c>
      <c r="AO24" s="688">
        <v>9562.5</v>
      </c>
    </row>
    <row r="25" spans="1:42" ht="76.7" customHeight="1" x14ac:dyDescent="0.3">
      <c r="A25" s="698" t="s">
        <v>1293</v>
      </c>
      <c r="B25" s="684" t="s">
        <v>1282</v>
      </c>
      <c r="C25" s="638" t="s">
        <v>1294</v>
      </c>
      <c r="D25" s="700" t="s">
        <v>1295</v>
      </c>
      <c r="E25" s="657">
        <v>7024000</v>
      </c>
      <c r="F25" s="659">
        <v>0</v>
      </c>
      <c r="G25" s="659">
        <v>1</v>
      </c>
      <c r="H25" s="659">
        <v>0</v>
      </c>
      <c r="I25" s="660">
        <v>0</v>
      </c>
      <c r="J25" s="660">
        <v>0</v>
      </c>
      <c r="K25" s="660">
        <v>0</v>
      </c>
      <c r="L25" s="643">
        <f t="shared" si="12"/>
        <v>1</v>
      </c>
      <c r="M25" s="644">
        <v>7012151.6100000003</v>
      </c>
      <c r="N25" s="644">
        <v>7012151.6100000003</v>
      </c>
      <c r="O25" s="660">
        <v>1</v>
      </c>
      <c r="P25" s="660">
        <v>0</v>
      </c>
      <c r="Q25" s="659">
        <v>0</v>
      </c>
      <c r="R25" s="659">
        <v>1</v>
      </c>
      <c r="S25" s="659">
        <v>0</v>
      </c>
      <c r="T25" s="660">
        <v>0</v>
      </c>
      <c r="U25" s="660">
        <v>0</v>
      </c>
      <c r="V25" s="660">
        <v>0</v>
      </c>
      <c r="W25" s="659">
        <f t="shared" si="13"/>
        <v>1</v>
      </c>
      <c r="X25" s="660">
        <v>0</v>
      </c>
      <c r="Y25" s="667">
        <f t="shared" si="15"/>
        <v>11848.389999999665</v>
      </c>
      <c r="Z25" s="669">
        <v>7012151.6100000003</v>
      </c>
      <c r="AA25" s="661">
        <f t="shared" si="16"/>
        <v>0.99831315632118456</v>
      </c>
      <c r="AB25" s="647">
        <f t="shared" si="17"/>
        <v>7012151.6100000003</v>
      </c>
      <c r="AC25" s="696" t="s">
        <v>1250</v>
      </c>
      <c r="AD25" s="658">
        <v>1</v>
      </c>
      <c r="AE25" s="644">
        <v>7012151.6100000003</v>
      </c>
      <c r="AF25" s="670">
        <v>0</v>
      </c>
      <c r="AG25" s="644">
        <v>7012151.6100000003</v>
      </c>
      <c r="AH25" s="658">
        <v>1</v>
      </c>
      <c r="AI25" s="658">
        <v>0</v>
      </c>
      <c r="AJ25" s="644">
        <v>0</v>
      </c>
      <c r="AK25" s="1328">
        <f t="shared" si="11"/>
        <v>7012151.6100000003</v>
      </c>
      <c r="AL25" s="644">
        <v>6003423.4199999999</v>
      </c>
      <c r="AM25" s="644">
        <v>6003423.4199999999</v>
      </c>
      <c r="AN25" s="671">
        <v>6003423.4199999999</v>
      </c>
      <c r="AO25" s="688">
        <v>5102909.8600000003</v>
      </c>
    </row>
    <row r="26" spans="1:42" ht="108" customHeight="1" x14ac:dyDescent="0.3">
      <c r="A26" s="636" t="s">
        <v>1296</v>
      </c>
      <c r="B26" s="684" t="s">
        <v>1282</v>
      </c>
      <c r="C26" s="638" t="s">
        <v>1270</v>
      </c>
      <c r="D26" s="700" t="s">
        <v>1297</v>
      </c>
      <c r="E26" s="657">
        <v>22800000</v>
      </c>
      <c r="F26" s="659">
        <v>0</v>
      </c>
      <c r="G26" s="659">
        <v>48</v>
      </c>
      <c r="H26" s="659">
        <v>0</v>
      </c>
      <c r="I26" s="660">
        <v>0</v>
      </c>
      <c r="J26" s="660">
        <v>0</v>
      </c>
      <c r="K26" s="660">
        <v>0</v>
      </c>
      <c r="L26" s="643">
        <f t="shared" si="12"/>
        <v>48</v>
      </c>
      <c r="M26" s="644">
        <v>20562017</v>
      </c>
      <c r="N26" s="644">
        <v>25467858.420000002</v>
      </c>
      <c r="O26" s="660">
        <v>48</v>
      </c>
      <c r="P26" s="660">
        <v>0</v>
      </c>
      <c r="Q26" s="659">
        <v>0</v>
      </c>
      <c r="R26" s="659">
        <v>0</v>
      </c>
      <c r="S26" s="659">
        <v>31</v>
      </c>
      <c r="T26" s="660">
        <v>0</v>
      </c>
      <c r="U26" s="660">
        <v>0</v>
      </c>
      <c r="V26" s="660">
        <v>0</v>
      </c>
      <c r="W26" s="659">
        <f t="shared" si="13"/>
        <v>31</v>
      </c>
      <c r="X26" s="660">
        <v>17</v>
      </c>
      <c r="Y26" s="667">
        <f t="shared" si="15"/>
        <v>9986696.9499999993</v>
      </c>
      <c r="Z26" s="669">
        <v>12813303.050000001</v>
      </c>
      <c r="AA26" s="661">
        <f t="shared" si="16"/>
        <v>0.56198697587719304</v>
      </c>
      <c r="AB26" s="647">
        <f t="shared" si="17"/>
        <v>413332.35645161296</v>
      </c>
      <c r="AC26" s="696" t="s">
        <v>1250</v>
      </c>
      <c r="AD26" s="658">
        <v>31</v>
      </c>
      <c r="AE26" s="653">
        <v>15980315.34</v>
      </c>
      <c r="AF26" s="701">
        <v>0</v>
      </c>
      <c r="AG26" s="644">
        <v>12813303.050000001</v>
      </c>
      <c r="AH26" s="658">
        <v>30</v>
      </c>
      <c r="AI26" s="658">
        <v>1</v>
      </c>
      <c r="AJ26" s="644">
        <v>454058.71</v>
      </c>
      <c r="AK26" s="1328">
        <f t="shared" si="11"/>
        <v>12359244.34</v>
      </c>
      <c r="AL26" s="644">
        <v>13441537.869999999</v>
      </c>
      <c r="AM26" s="644">
        <v>11387906.93</v>
      </c>
      <c r="AN26" s="671">
        <v>13441537.869999999</v>
      </c>
      <c r="AO26" s="688">
        <v>11425307.130000001</v>
      </c>
    </row>
    <row r="27" spans="1:42" ht="79.5" customHeight="1" x14ac:dyDescent="0.3">
      <c r="A27" s="636" t="s">
        <v>1298</v>
      </c>
      <c r="B27" s="699" t="s">
        <v>1264</v>
      </c>
      <c r="C27" s="638" t="s">
        <v>1241</v>
      </c>
      <c r="D27" s="700" t="s">
        <v>1299</v>
      </c>
      <c r="E27" s="657">
        <v>38000000</v>
      </c>
      <c r="F27" s="659">
        <v>0</v>
      </c>
      <c r="G27" s="659">
        <v>8</v>
      </c>
      <c r="H27" s="659">
        <v>0</v>
      </c>
      <c r="I27" s="660">
        <v>0</v>
      </c>
      <c r="J27" s="660">
        <v>0</v>
      </c>
      <c r="K27" s="660">
        <v>0</v>
      </c>
      <c r="L27" s="643">
        <f t="shared" si="12"/>
        <v>8</v>
      </c>
      <c r="M27" s="644">
        <v>23478304.899999999</v>
      </c>
      <c r="N27" s="644">
        <v>26963932.239999998</v>
      </c>
      <c r="O27" s="660">
        <v>8</v>
      </c>
      <c r="P27" s="660">
        <v>0</v>
      </c>
      <c r="Q27" s="659">
        <v>0</v>
      </c>
      <c r="R27" s="659">
        <v>0</v>
      </c>
      <c r="S27" s="659">
        <v>3</v>
      </c>
      <c r="T27" s="660">
        <v>0</v>
      </c>
      <c r="U27" s="660">
        <v>0</v>
      </c>
      <c r="V27" s="660">
        <v>0</v>
      </c>
      <c r="W27" s="659">
        <f t="shared" si="13"/>
        <v>3</v>
      </c>
      <c r="X27" s="660">
        <v>5</v>
      </c>
      <c r="Y27" s="667">
        <f t="shared" si="15"/>
        <v>21744597.859999999</v>
      </c>
      <c r="Z27" s="669">
        <v>16255402.140000001</v>
      </c>
      <c r="AA27" s="661">
        <f t="shared" si="16"/>
        <v>0.42777374052631578</v>
      </c>
      <c r="AB27" s="647">
        <f t="shared" si="17"/>
        <v>5418467.3799999999</v>
      </c>
      <c r="AC27" s="650" t="s">
        <v>1250</v>
      </c>
      <c r="AD27" s="660">
        <v>3</v>
      </c>
      <c r="AE27" s="653">
        <v>19397543.449999999</v>
      </c>
      <c r="AF27" s="702">
        <v>0</v>
      </c>
      <c r="AG27" s="644">
        <v>16255402.140000001</v>
      </c>
      <c r="AH27" s="660">
        <v>3</v>
      </c>
      <c r="AI27" s="660">
        <v>0</v>
      </c>
      <c r="AJ27" s="648">
        <v>0</v>
      </c>
      <c r="AK27" s="1328">
        <f t="shared" si="11"/>
        <v>16255402.140000001</v>
      </c>
      <c r="AL27" s="648">
        <v>11674275.49</v>
      </c>
      <c r="AM27" s="644">
        <v>11674256.880000001</v>
      </c>
      <c r="AN27" s="671">
        <v>11674275.49</v>
      </c>
      <c r="AO27" s="688">
        <v>9923134.0899999999</v>
      </c>
    </row>
    <row r="28" spans="1:42" ht="67.5" customHeight="1" x14ac:dyDescent="0.3">
      <c r="A28" s="636" t="s">
        <v>1300</v>
      </c>
      <c r="B28" s="699" t="s">
        <v>1264</v>
      </c>
      <c r="C28" s="638" t="s">
        <v>1241</v>
      </c>
      <c r="D28" s="703" t="s">
        <v>1301</v>
      </c>
      <c r="E28" s="657">
        <v>1663000000</v>
      </c>
      <c r="F28" s="659">
        <v>0</v>
      </c>
      <c r="G28" s="659">
        <v>0</v>
      </c>
      <c r="H28" s="659">
        <v>291</v>
      </c>
      <c r="I28" s="660">
        <v>0</v>
      </c>
      <c r="J28" s="660">
        <v>0</v>
      </c>
      <c r="K28" s="660">
        <v>0</v>
      </c>
      <c r="L28" s="643">
        <f t="shared" si="12"/>
        <v>291</v>
      </c>
      <c r="M28" s="644">
        <v>991517328.97000003</v>
      </c>
      <c r="N28" s="644" t="s">
        <v>1302</v>
      </c>
      <c r="O28" s="660">
        <v>291</v>
      </c>
      <c r="P28" s="660">
        <v>0</v>
      </c>
      <c r="Q28" s="659">
        <v>0</v>
      </c>
      <c r="R28" s="659">
        <v>0</v>
      </c>
      <c r="S28" s="659">
        <v>0</v>
      </c>
      <c r="T28" s="660">
        <v>56</v>
      </c>
      <c r="U28" s="660">
        <v>43</v>
      </c>
      <c r="V28" s="660">
        <f>1-1</f>
        <v>0</v>
      </c>
      <c r="W28" s="659">
        <f t="shared" si="13"/>
        <v>99</v>
      </c>
      <c r="X28" s="660">
        <v>192</v>
      </c>
      <c r="Y28" s="667">
        <f>E28-(Z13+Z14+Z18+Z28)</f>
        <v>113636892.01999998</v>
      </c>
      <c r="Z28" s="648">
        <f>402412737.58-4060043.55</f>
        <v>398352694.02999997</v>
      </c>
      <c r="AA28" s="661">
        <f>(Z28+Z13+Z14+Z18)/E28</f>
        <v>0.93166753336139507</v>
      </c>
      <c r="AB28" s="647">
        <f t="shared" si="17"/>
        <v>4023764.5861616158</v>
      </c>
      <c r="AC28" s="704" t="s">
        <v>2107</v>
      </c>
      <c r="AD28" s="658">
        <v>97</v>
      </c>
      <c r="AE28" s="653">
        <v>1137977986.05</v>
      </c>
      <c r="AF28" s="701">
        <f>24+20+20+9+8+6+30+12+12+11+10+16+18+10+9+15+4+12+10+2+21+10+12+10+20+9+34+8+2+12+21+10+20+14+21+12+24+30+6+2+6+10+6+12+14+12+8+33+20+20+10+16+8+18+194+30+10+21+50+61+43+53+31+31+10+10+16+14</f>
        <v>1323</v>
      </c>
      <c r="AG28" s="644">
        <v>394420716.61000001</v>
      </c>
      <c r="AH28" s="660">
        <v>31</v>
      </c>
      <c r="AI28" s="660">
        <v>0</v>
      </c>
      <c r="AJ28" s="648">
        <v>0</v>
      </c>
      <c r="AK28" s="1328">
        <f t="shared" si="11"/>
        <v>394420716.61000001</v>
      </c>
      <c r="AL28" s="644">
        <v>591700694.40999997</v>
      </c>
      <c r="AM28" s="644">
        <v>242374988.00999999</v>
      </c>
      <c r="AN28" s="671">
        <v>68480397.25</v>
      </c>
      <c r="AO28" s="644">
        <v>58208337.189999998</v>
      </c>
    </row>
    <row r="29" spans="1:42" ht="117" customHeight="1" x14ac:dyDescent="0.3">
      <c r="A29" s="705" t="s">
        <v>1303</v>
      </c>
      <c r="B29" s="706" t="s">
        <v>1264</v>
      </c>
      <c r="C29" s="638" t="s">
        <v>1241</v>
      </c>
      <c r="D29" s="703" t="s">
        <v>1304</v>
      </c>
      <c r="E29" s="657">
        <v>48600000</v>
      </c>
      <c r="F29" s="707">
        <v>0</v>
      </c>
      <c r="G29" s="707">
        <v>0</v>
      </c>
      <c r="H29" s="707">
        <v>232</v>
      </c>
      <c r="I29" s="660">
        <v>150</v>
      </c>
      <c r="J29" s="660">
        <v>0</v>
      </c>
      <c r="K29" s="660">
        <v>0</v>
      </c>
      <c r="L29" s="643">
        <f t="shared" si="12"/>
        <v>382</v>
      </c>
      <c r="M29" s="644">
        <v>54856213</v>
      </c>
      <c r="N29" s="644">
        <v>83383463</v>
      </c>
      <c r="O29" s="708">
        <v>382</v>
      </c>
      <c r="P29" s="708">
        <v>0</v>
      </c>
      <c r="Q29" s="707">
        <v>0</v>
      </c>
      <c r="R29" s="707">
        <v>0</v>
      </c>
      <c r="S29" s="707">
        <v>117</v>
      </c>
      <c r="T29" s="660">
        <v>114</v>
      </c>
      <c r="U29" s="660">
        <f>95-1-1</f>
        <v>93</v>
      </c>
      <c r="V29" s="660">
        <v>0</v>
      </c>
      <c r="W29" s="659">
        <f t="shared" si="13"/>
        <v>324</v>
      </c>
      <c r="X29" s="708">
        <v>58</v>
      </c>
      <c r="Y29" s="667">
        <f t="shared" si="15"/>
        <v>667193.46000000089</v>
      </c>
      <c r="Z29" s="709">
        <f>48237666.54-230520-74340</f>
        <v>47932806.539999999</v>
      </c>
      <c r="AA29" s="710">
        <f t="shared" si="16"/>
        <v>0.98627173950617286</v>
      </c>
      <c r="AB29" s="647">
        <f t="shared" si="17"/>
        <v>147940.76092592592</v>
      </c>
      <c r="AC29" s="711" t="s">
        <v>1305</v>
      </c>
      <c r="AD29" s="660">
        <v>320</v>
      </c>
      <c r="AE29" s="653">
        <v>74467109.430000007</v>
      </c>
      <c r="AF29" s="702">
        <v>0</v>
      </c>
      <c r="AG29" s="644">
        <v>47591476.350000001</v>
      </c>
      <c r="AH29" s="660">
        <v>207</v>
      </c>
      <c r="AI29" s="660">
        <v>6</v>
      </c>
      <c r="AJ29" s="648">
        <v>1116599.48</v>
      </c>
      <c r="AK29" s="1328">
        <f t="shared" si="11"/>
        <v>46474876.870000005</v>
      </c>
      <c r="AL29" s="644">
        <v>42089463.939999998</v>
      </c>
      <c r="AM29" s="644">
        <v>36813705.700000003</v>
      </c>
      <c r="AN29" s="671">
        <v>14249324.720000001</v>
      </c>
      <c r="AO29" s="644">
        <v>12111925.960000001</v>
      </c>
    </row>
    <row r="30" spans="1:42" ht="96.75" customHeight="1" x14ac:dyDescent="0.3">
      <c r="A30" s="698" t="s">
        <v>1306</v>
      </c>
      <c r="B30" s="706" t="s">
        <v>1264</v>
      </c>
      <c r="C30" s="712" t="s">
        <v>1241</v>
      </c>
      <c r="D30" s="703" t="s">
        <v>1307</v>
      </c>
      <c r="E30" s="657">
        <v>41322500</v>
      </c>
      <c r="F30" s="659">
        <v>0</v>
      </c>
      <c r="G30" s="659">
        <v>0</v>
      </c>
      <c r="H30" s="659">
        <v>27</v>
      </c>
      <c r="I30" s="660">
        <v>57</v>
      </c>
      <c r="J30" s="660">
        <v>37</v>
      </c>
      <c r="K30" s="660">
        <v>0</v>
      </c>
      <c r="L30" s="643">
        <f t="shared" si="12"/>
        <v>121</v>
      </c>
      <c r="M30" s="644">
        <v>46735972.890000001</v>
      </c>
      <c r="N30" s="644">
        <v>68051199.189999998</v>
      </c>
      <c r="O30" s="660">
        <v>121</v>
      </c>
      <c r="P30" s="660">
        <v>0</v>
      </c>
      <c r="Q30" s="659">
        <v>0</v>
      </c>
      <c r="R30" s="659">
        <v>0</v>
      </c>
      <c r="S30" s="659">
        <v>13</v>
      </c>
      <c r="T30" s="660">
        <f>28-1</f>
        <v>27</v>
      </c>
      <c r="U30" s="660">
        <f>34-1</f>
        <v>33</v>
      </c>
      <c r="V30" s="660">
        <v>24</v>
      </c>
      <c r="W30" s="659">
        <f t="shared" si="13"/>
        <v>97</v>
      </c>
      <c r="X30" s="660">
        <f>13</f>
        <v>13</v>
      </c>
      <c r="Y30" s="667">
        <f t="shared" si="15"/>
        <v>1624673.7800000012</v>
      </c>
      <c r="Z30" s="669">
        <v>39697826.219999999</v>
      </c>
      <c r="AA30" s="661">
        <f t="shared" si="16"/>
        <v>0.96068307145017839</v>
      </c>
      <c r="AB30" s="647">
        <f t="shared" si="17"/>
        <v>409255.94041237113</v>
      </c>
      <c r="AC30" s="711" t="s">
        <v>2119</v>
      </c>
      <c r="AD30" s="660">
        <v>73</v>
      </c>
      <c r="AE30" s="653">
        <v>44974168.079999998</v>
      </c>
      <c r="AF30" s="702">
        <v>0</v>
      </c>
      <c r="AG30" s="644">
        <v>30189683.940000001</v>
      </c>
      <c r="AH30" s="708">
        <v>25</v>
      </c>
      <c r="AI30" s="708">
        <v>4</v>
      </c>
      <c r="AJ30" s="709">
        <v>1323425.75</v>
      </c>
      <c r="AK30" s="1328">
        <f t="shared" si="11"/>
        <v>28866258.190000001</v>
      </c>
      <c r="AL30" s="644">
        <v>15679128.66</v>
      </c>
      <c r="AM30" s="644">
        <v>17132672.59</v>
      </c>
      <c r="AN30" s="713">
        <v>2504317.3199999998</v>
      </c>
      <c r="AO30" s="644">
        <v>2128669.71</v>
      </c>
    </row>
    <row r="31" spans="1:42" ht="185.25" customHeight="1" x14ac:dyDescent="0.3">
      <c r="A31" s="714" t="s">
        <v>1308</v>
      </c>
      <c r="B31" s="684" t="s">
        <v>1275</v>
      </c>
      <c r="C31" s="712" t="s">
        <v>1241</v>
      </c>
      <c r="D31" s="715" t="s">
        <v>1309</v>
      </c>
      <c r="E31" s="716">
        <v>50000000</v>
      </c>
      <c r="F31" s="707">
        <v>0</v>
      </c>
      <c r="G31" s="707">
        <v>0</v>
      </c>
      <c r="H31" s="707">
        <v>12</v>
      </c>
      <c r="I31" s="660">
        <v>41</v>
      </c>
      <c r="J31" s="660">
        <v>158</v>
      </c>
      <c r="K31" s="660">
        <v>43</v>
      </c>
      <c r="L31" s="643">
        <f t="shared" si="12"/>
        <v>254</v>
      </c>
      <c r="M31" s="644">
        <v>14816694.77</v>
      </c>
      <c r="N31" s="644">
        <v>24118030.699999999</v>
      </c>
      <c r="O31" s="708">
        <v>241</v>
      </c>
      <c r="P31" s="708">
        <v>13</v>
      </c>
      <c r="Q31" s="707">
        <v>0</v>
      </c>
      <c r="R31" s="707">
        <v>0</v>
      </c>
      <c r="S31" s="707">
        <v>6</v>
      </c>
      <c r="T31" s="660">
        <v>27</v>
      </c>
      <c r="U31" s="660">
        <v>97</v>
      </c>
      <c r="V31" s="660">
        <v>38</v>
      </c>
      <c r="W31" s="659">
        <f t="shared" si="13"/>
        <v>168</v>
      </c>
      <c r="X31" s="708">
        <v>40</v>
      </c>
      <c r="Y31" s="667">
        <f t="shared" si="15"/>
        <v>39610334.689999998</v>
      </c>
      <c r="Z31" s="668">
        <v>10389665.310000001</v>
      </c>
      <c r="AA31" s="710">
        <f t="shared" si="16"/>
        <v>0.2077933062</v>
      </c>
      <c r="AB31" s="647">
        <f t="shared" si="17"/>
        <v>61843.245892857143</v>
      </c>
      <c r="AC31" s="711" t="s">
        <v>1310</v>
      </c>
      <c r="AD31" s="660">
        <v>168</v>
      </c>
      <c r="AE31" s="653">
        <v>17030469.66</v>
      </c>
      <c r="AF31" s="717" t="s">
        <v>1245</v>
      </c>
      <c r="AG31" s="644">
        <v>10389665.310000001</v>
      </c>
      <c r="AH31" s="660">
        <v>113</v>
      </c>
      <c r="AI31" s="660">
        <v>5</v>
      </c>
      <c r="AJ31" s="648">
        <v>287554.98</v>
      </c>
      <c r="AK31" s="1328">
        <f t="shared" si="11"/>
        <v>10102110.33</v>
      </c>
      <c r="AL31" s="648">
        <v>9756880.3900000006</v>
      </c>
      <c r="AM31" s="644">
        <v>6214003.6399999997</v>
      </c>
      <c r="AN31" s="644">
        <v>1416468.6</v>
      </c>
      <c r="AO31" s="644">
        <v>1203998.31</v>
      </c>
    </row>
    <row r="32" spans="1:42" ht="60" customHeight="1" x14ac:dyDescent="0.3">
      <c r="A32" s="718" t="s">
        <v>1311</v>
      </c>
      <c r="B32" s="718" t="s">
        <v>1264</v>
      </c>
      <c r="C32" s="638" t="s">
        <v>1241</v>
      </c>
      <c r="D32" s="703" t="s">
        <v>1312</v>
      </c>
      <c r="E32" s="719">
        <v>30400000</v>
      </c>
      <c r="F32" s="720">
        <v>0</v>
      </c>
      <c r="G32" s="720">
        <v>0</v>
      </c>
      <c r="H32" s="659">
        <v>502</v>
      </c>
      <c r="I32" s="660">
        <v>0</v>
      </c>
      <c r="J32" s="660">
        <v>0</v>
      </c>
      <c r="K32" s="660">
        <v>0</v>
      </c>
      <c r="L32" s="643">
        <f t="shared" si="12"/>
        <v>502</v>
      </c>
      <c r="M32" s="644">
        <v>30839091.760000002</v>
      </c>
      <c r="N32" s="644">
        <v>48973728.549999997</v>
      </c>
      <c r="O32" s="660">
        <v>502</v>
      </c>
      <c r="P32" s="660">
        <v>0</v>
      </c>
      <c r="Q32" s="659">
        <v>0</v>
      </c>
      <c r="R32" s="721">
        <v>0</v>
      </c>
      <c r="S32" s="707">
        <v>225</v>
      </c>
      <c r="T32" s="660">
        <v>202</v>
      </c>
      <c r="U32" s="660">
        <v>0</v>
      </c>
      <c r="V32" s="660">
        <v>0</v>
      </c>
      <c r="W32" s="659">
        <f t="shared" si="13"/>
        <v>427</v>
      </c>
      <c r="X32" s="708">
        <v>62</v>
      </c>
      <c r="Y32" s="667">
        <f t="shared" si="15"/>
        <v>3417562.1099999994</v>
      </c>
      <c r="Z32" s="668">
        <v>26982437.890000001</v>
      </c>
      <c r="AA32" s="710">
        <f t="shared" si="16"/>
        <v>0.88758019374999997</v>
      </c>
      <c r="AB32" s="647">
        <f t="shared" si="17"/>
        <v>63190.721053864167</v>
      </c>
      <c r="AC32" s="711" t="s">
        <v>1313</v>
      </c>
      <c r="AD32" s="660">
        <v>427</v>
      </c>
      <c r="AE32" s="653">
        <v>43385093.32</v>
      </c>
      <c r="AF32" s="722" t="s">
        <v>1245</v>
      </c>
      <c r="AG32" s="644">
        <v>26982437.890000001</v>
      </c>
      <c r="AH32" s="660">
        <v>376</v>
      </c>
      <c r="AI32" s="660">
        <v>47</v>
      </c>
      <c r="AJ32" s="648">
        <v>2632871.59</v>
      </c>
      <c r="AK32" s="1328">
        <f t="shared" si="11"/>
        <v>24349566.300000001</v>
      </c>
      <c r="AL32" s="648">
        <v>33157156.579999998</v>
      </c>
      <c r="AM32" s="644">
        <v>23977471.829999998</v>
      </c>
      <c r="AN32" s="644">
        <v>12811406.25</v>
      </c>
      <c r="AO32" s="644">
        <v>10889695.310000001</v>
      </c>
    </row>
    <row r="33" spans="1:43" ht="96" customHeight="1" x14ac:dyDescent="0.3">
      <c r="A33" s="723" t="s">
        <v>1314</v>
      </c>
      <c r="B33" s="723" t="s">
        <v>1264</v>
      </c>
      <c r="C33" s="724" t="s">
        <v>1270</v>
      </c>
      <c r="D33" s="703" t="s">
        <v>1315</v>
      </c>
      <c r="E33" s="725">
        <v>363093460</v>
      </c>
      <c r="F33" s="726">
        <v>0</v>
      </c>
      <c r="G33" s="726">
        <v>0</v>
      </c>
      <c r="H33" s="726">
        <v>1299</v>
      </c>
      <c r="I33" s="660">
        <v>0</v>
      </c>
      <c r="J33" s="660">
        <v>0</v>
      </c>
      <c r="K33" s="660">
        <v>0</v>
      </c>
      <c r="L33" s="643">
        <f t="shared" si="12"/>
        <v>1299</v>
      </c>
      <c r="M33" s="644">
        <v>456056495.26999998</v>
      </c>
      <c r="N33" s="727">
        <v>866441910</v>
      </c>
      <c r="O33" s="728">
        <v>1299</v>
      </c>
      <c r="P33" s="728">
        <v>0</v>
      </c>
      <c r="Q33" s="726">
        <v>0</v>
      </c>
      <c r="R33" s="707">
        <v>0</v>
      </c>
      <c r="S33" s="707">
        <v>0</v>
      </c>
      <c r="T33" s="660">
        <f>868-1-12</f>
        <v>855</v>
      </c>
      <c r="U33" s="660">
        <f>106-1</f>
        <v>105</v>
      </c>
      <c r="V33" s="660">
        <v>0</v>
      </c>
      <c r="W33" s="659">
        <f t="shared" si="13"/>
        <v>960</v>
      </c>
      <c r="X33" s="708">
        <v>339</v>
      </c>
      <c r="Y33" s="667">
        <f t="shared" si="15"/>
        <v>22064490.160000026</v>
      </c>
      <c r="Z33" s="668">
        <f>344274001.02-3245031.18</f>
        <v>341028969.83999997</v>
      </c>
      <c r="AA33" s="710">
        <f t="shared" si="16"/>
        <v>0.93923192623739349</v>
      </c>
      <c r="AB33" s="647">
        <f t="shared" si="17"/>
        <v>355238.51024999999</v>
      </c>
      <c r="AC33" s="711" t="s">
        <v>2085</v>
      </c>
      <c r="AD33" s="658">
        <v>957</v>
      </c>
      <c r="AE33" s="653">
        <v>659896561.49000001</v>
      </c>
      <c r="AF33" s="701">
        <f>18+2+1+91+64+107+104+120+319+71+124+101+170+174+57+128+28+131+89+2+16+119+13+46+4+1+304+6+9+25+74+27+3+6+2+9+7+22+10+6+15+2+2+2+1+1</f>
        <v>2633</v>
      </c>
      <c r="AG33" s="644">
        <v>339733890.47000003</v>
      </c>
      <c r="AH33" s="729">
        <v>422</v>
      </c>
      <c r="AI33" s="729">
        <v>26</v>
      </c>
      <c r="AJ33" s="1329">
        <v>8907841</v>
      </c>
      <c r="AK33" s="1328">
        <f t="shared" si="11"/>
        <v>330826049.47000003</v>
      </c>
      <c r="AL33" s="644">
        <v>306906163.22000003</v>
      </c>
      <c r="AM33" s="644">
        <v>227595524.05000001</v>
      </c>
      <c r="AN33" s="644">
        <v>0</v>
      </c>
      <c r="AO33" s="644">
        <v>0</v>
      </c>
    </row>
    <row r="34" spans="1:43" ht="93.2" customHeight="1" x14ac:dyDescent="0.3">
      <c r="A34" s="665" t="s">
        <v>1316</v>
      </c>
      <c r="B34" s="665" t="s">
        <v>1264</v>
      </c>
      <c r="C34" s="638" t="s">
        <v>1241</v>
      </c>
      <c r="D34" s="703" t="s">
        <v>1317</v>
      </c>
      <c r="E34" s="716">
        <v>7500000</v>
      </c>
      <c r="F34" s="707">
        <v>0</v>
      </c>
      <c r="G34" s="707">
        <v>0</v>
      </c>
      <c r="H34" s="707">
        <v>5</v>
      </c>
      <c r="I34" s="660">
        <v>41</v>
      </c>
      <c r="J34" s="660">
        <v>106</v>
      </c>
      <c r="K34" s="660">
        <v>0</v>
      </c>
      <c r="L34" s="643">
        <f t="shared" si="12"/>
        <v>152</v>
      </c>
      <c r="M34" s="644">
        <f>3640656+64000+16000+47000+4000+52000+16000+26000+55000+145000+211000+337004+134000</f>
        <v>4747660</v>
      </c>
      <c r="N34" s="713">
        <f>3854124+64000+17000+62000+4000+52000+16000+26000+55000+145000+211000+337004+134000</f>
        <v>4977128</v>
      </c>
      <c r="O34" s="708">
        <v>152</v>
      </c>
      <c r="P34" s="708">
        <v>0</v>
      </c>
      <c r="Q34" s="707">
        <v>0</v>
      </c>
      <c r="R34" s="707">
        <v>0</v>
      </c>
      <c r="S34" s="707">
        <v>3</v>
      </c>
      <c r="T34" s="660">
        <v>26</v>
      </c>
      <c r="U34" s="660">
        <v>44</v>
      </c>
      <c r="V34" s="660">
        <v>20</v>
      </c>
      <c r="W34" s="659">
        <f t="shared" si="13"/>
        <v>93</v>
      </c>
      <c r="X34" s="708">
        <v>59</v>
      </c>
      <c r="Y34" s="667">
        <f t="shared" si="15"/>
        <v>4638970.66</v>
      </c>
      <c r="Z34" s="653">
        <v>2861029.34</v>
      </c>
      <c r="AA34" s="710">
        <f t="shared" si="16"/>
        <v>0.38147057866666667</v>
      </c>
      <c r="AB34" s="647">
        <f t="shared" si="17"/>
        <v>30763.756344086021</v>
      </c>
      <c r="AC34" s="711" t="s">
        <v>2108</v>
      </c>
      <c r="AD34" s="660">
        <v>93</v>
      </c>
      <c r="AE34" s="653">
        <v>2935204</v>
      </c>
      <c r="AF34" s="660" t="s">
        <v>1245</v>
      </c>
      <c r="AG34" s="644">
        <v>2861029.34</v>
      </c>
      <c r="AH34" s="660">
        <v>39</v>
      </c>
      <c r="AI34" s="660">
        <v>2</v>
      </c>
      <c r="AJ34" s="648">
        <v>66529.34</v>
      </c>
      <c r="AK34" s="1328">
        <f t="shared" si="11"/>
        <v>2794500</v>
      </c>
      <c r="AL34" s="644">
        <v>1178500</v>
      </c>
      <c r="AM34" s="644">
        <v>1156500</v>
      </c>
      <c r="AN34" s="644">
        <v>0</v>
      </c>
      <c r="AO34" s="644">
        <v>0</v>
      </c>
    </row>
    <row r="35" spans="1:43" ht="75.75" customHeight="1" x14ac:dyDescent="0.3">
      <c r="A35" s="730" t="s">
        <v>1318</v>
      </c>
      <c r="B35" s="730" t="s">
        <v>1264</v>
      </c>
      <c r="C35" s="712" t="s">
        <v>1241</v>
      </c>
      <c r="D35" s="703" t="s">
        <v>1319</v>
      </c>
      <c r="E35" s="716">
        <v>134000000</v>
      </c>
      <c r="F35" s="707">
        <v>0</v>
      </c>
      <c r="G35" s="707">
        <v>0</v>
      </c>
      <c r="H35" s="707">
        <v>189</v>
      </c>
      <c r="I35" s="660">
        <v>184</v>
      </c>
      <c r="J35" s="660">
        <v>42</v>
      </c>
      <c r="K35" s="660">
        <v>0</v>
      </c>
      <c r="L35" s="643">
        <f t="shared" si="12"/>
        <v>415</v>
      </c>
      <c r="M35" s="644">
        <v>176646004.38</v>
      </c>
      <c r="N35" s="713">
        <v>264299550.61000001</v>
      </c>
      <c r="O35" s="708">
        <v>415</v>
      </c>
      <c r="P35" s="708">
        <v>0</v>
      </c>
      <c r="Q35" s="707">
        <v>0</v>
      </c>
      <c r="R35" s="707">
        <v>0</v>
      </c>
      <c r="S35" s="707">
        <v>0</v>
      </c>
      <c r="T35" s="660">
        <v>234</v>
      </c>
      <c r="U35" s="660">
        <f>84</f>
        <v>84</v>
      </c>
      <c r="V35" s="660">
        <v>1</v>
      </c>
      <c r="W35" s="659">
        <f t="shared" si="13"/>
        <v>319</v>
      </c>
      <c r="X35" s="708">
        <v>96</v>
      </c>
      <c r="Y35" s="731">
        <f t="shared" si="15"/>
        <v>2067752.549999997</v>
      </c>
      <c r="Z35" s="668">
        <f>131932247.45</f>
        <v>131932247.45</v>
      </c>
      <c r="AA35" s="710">
        <f t="shared" si="16"/>
        <v>0.98456901082089554</v>
      </c>
      <c r="AB35" s="732">
        <f t="shared" si="17"/>
        <v>413580.71300940443</v>
      </c>
      <c r="AC35" s="711" t="s">
        <v>2109</v>
      </c>
      <c r="AD35" s="658">
        <v>318</v>
      </c>
      <c r="AE35" s="653">
        <v>207193719.08000001</v>
      </c>
      <c r="AF35" s="701">
        <v>0</v>
      </c>
      <c r="AG35" s="644">
        <v>131829276.05</v>
      </c>
      <c r="AH35" s="733">
        <v>28</v>
      </c>
      <c r="AI35" s="733">
        <v>5</v>
      </c>
      <c r="AJ35" s="1330">
        <v>1469989.16</v>
      </c>
      <c r="AK35" s="1328">
        <f t="shared" si="11"/>
        <v>130359286.89</v>
      </c>
      <c r="AL35" s="644">
        <v>39562267.670000002</v>
      </c>
      <c r="AM35" s="644">
        <v>57793929.979999997</v>
      </c>
      <c r="AN35" s="644">
        <v>2507847.7799999998</v>
      </c>
      <c r="AO35" s="644">
        <v>2131670.6</v>
      </c>
    </row>
    <row r="36" spans="1:43" ht="63.75" customHeight="1" x14ac:dyDescent="0.3">
      <c r="A36" s="636" t="s">
        <v>1320</v>
      </c>
      <c r="B36" s="684" t="s">
        <v>1282</v>
      </c>
      <c r="C36" s="638" t="s">
        <v>1294</v>
      </c>
      <c r="D36" s="703" t="s">
        <v>1321</v>
      </c>
      <c r="E36" s="657">
        <v>38000000</v>
      </c>
      <c r="F36" s="659">
        <v>0</v>
      </c>
      <c r="G36" s="659">
        <v>0</v>
      </c>
      <c r="H36" s="659">
        <v>0</v>
      </c>
      <c r="I36" s="660">
        <v>1</v>
      </c>
      <c r="J36" s="660">
        <v>0</v>
      </c>
      <c r="K36" s="660">
        <v>0</v>
      </c>
      <c r="L36" s="643">
        <f t="shared" si="12"/>
        <v>1</v>
      </c>
      <c r="M36" s="644">
        <v>38000000</v>
      </c>
      <c r="N36" s="644">
        <v>38000000</v>
      </c>
      <c r="O36" s="660">
        <v>1</v>
      </c>
      <c r="P36" s="660">
        <v>0</v>
      </c>
      <c r="Q36" s="659">
        <v>0</v>
      </c>
      <c r="R36" s="659">
        <v>0</v>
      </c>
      <c r="S36" s="659">
        <v>0</v>
      </c>
      <c r="T36" s="660">
        <v>1</v>
      </c>
      <c r="U36" s="660">
        <v>0</v>
      </c>
      <c r="V36" s="660">
        <v>0</v>
      </c>
      <c r="W36" s="659">
        <f t="shared" si="13"/>
        <v>1</v>
      </c>
      <c r="X36" s="660">
        <v>0</v>
      </c>
      <c r="Y36" s="731">
        <f t="shared" si="15"/>
        <v>0</v>
      </c>
      <c r="Z36" s="668">
        <v>38000000</v>
      </c>
      <c r="AA36" s="661">
        <f t="shared" si="16"/>
        <v>1</v>
      </c>
      <c r="AB36" s="647">
        <f t="shared" si="17"/>
        <v>38000000</v>
      </c>
      <c r="AC36" s="650" t="s">
        <v>1250</v>
      </c>
      <c r="AD36" s="658">
        <v>1</v>
      </c>
      <c r="AE36" s="653">
        <v>38000000</v>
      </c>
      <c r="AF36" s="701">
        <v>0</v>
      </c>
      <c r="AG36" s="644">
        <v>38000000</v>
      </c>
      <c r="AH36" s="658">
        <v>0</v>
      </c>
      <c r="AI36" s="658">
        <v>0</v>
      </c>
      <c r="AJ36" s="644">
        <v>0</v>
      </c>
      <c r="AK36" s="1328">
        <f t="shared" si="11"/>
        <v>38000000</v>
      </c>
      <c r="AL36" s="644">
        <v>32220212.27</v>
      </c>
      <c r="AM36" s="644">
        <v>32220212.27</v>
      </c>
      <c r="AN36" s="671">
        <v>0</v>
      </c>
      <c r="AO36" s="688">
        <v>0</v>
      </c>
    </row>
    <row r="37" spans="1:43" ht="197.45" customHeight="1" x14ac:dyDescent="0.3">
      <c r="A37" s="683" t="s">
        <v>1322</v>
      </c>
      <c r="B37" s="684" t="s">
        <v>1275</v>
      </c>
      <c r="C37" s="658" t="s">
        <v>1241</v>
      </c>
      <c r="D37" s="703" t="s">
        <v>1323</v>
      </c>
      <c r="E37" s="691">
        <v>200000000</v>
      </c>
      <c r="F37" s="659">
        <v>0</v>
      </c>
      <c r="G37" s="659">
        <v>0</v>
      </c>
      <c r="H37" s="659">
        <v>0</v>
      </c>
      <c r="I37" s="660">
        <v>440</v>
      </c>
      <c r="J37" s="660">
        <v>0</v>
      </c>
      <c r="K37" s="660">
        <v>0</v>
      </c>
      <c r="L37" s="643">
        <f t="shared" si="12"/>
        <v>440</v>
      </c>
      <c r="M37" s="644">
        <v>485652439.79000002</v>
      </c>
      <c r="N37" s="734">
        <v>662276775.50999999</v>
      </c>
      <c r="O37" s="660">
        <v>440</v>
      </c>
      <c r="P37" s="660">
        <v>0</v>
      </c>
      <c r="Q37" s="659">
        <v>0</v>
      </c>
      <c r="R37" s="659">
        <v>0</v>
      </c>
      <c r="S37" s="659">
        <v>0</v>
      </c>
      <c r="T37" s="660">
        <v>128</v>
      </c>
      <c r="U37" s="660">
        <v>2</v>
      </c>
      <c r="V37" s="660">
        <v>0</v>
      </c>
      <c r="W37" s="659">
        <f t="shared" si="13"/>
        <v>130</v>
      </c>
      <c r="X37" s="660">
        <v>310</v>
      </c>
      <c r="Y37" s="667">
        <f t="shared" si="15"/>
        <v>52741992.430000007</v>
      </c>
      <c r="Z37" s="668">
        <v>147258007.56999999</v>
      </c>
      <c r="AA37" s="661">
        <f t="shared" si="16"/>
        <v>0.73629003784999991</v>
      </c>
      <c r="AB37" s="647">
        <f t="shared" si="17"/>
        <v>1132753.9043846154</v>
      </c>
      <c r="AC37" s="669" t="s">
        <v>1324</v>
      </c>
      <c r="AD37" s="658">
        <v>130</v>
      </c>
      <c r="AE37" s="644">
        <v>197731275.59999999</v>
      </c>
      <c r="AF37" s="670">
        <f>3+2+2+2+2+4+3+2+2+3+2+2+2+1+4+2+2+2+2+3+2+5+1+2+2+3+2+2+3+2+4+2+3+2+4+1+3+3+2+3+2+4+3+2+5+5+2+2+57+19+31+20+22+29+18+9+2+2+7+3+2+4</f>
        <v>348</v>
      </c>
      <c r="AG37" s="644">
        <v>147258007.56999999</v>
      </c>
      <c r="AH37" s="658">
        <v>25</v>
      </c>
      <c r="AI37" s="658">
        <v>4</v>
      </c>
      <c r="AJ37" s="644">
        <v>5240254.37</v>
      </c>
      <c r="AK37" s="1328">
        <f t="shared" si="11"/>
        <v>142017753.19999999</v>
      </c>
      <c r="AL37" s="644">
        <v>120814861.09</v>
      </c>
      <c r="AM37" s="644">
        <v>105864961.42</v>
      </c>
      <c r="AN37" s="671">
        <v>84046.65</v>
      </c>
      <c r="AO37" s="688">
        <v>71439.649999999994</v>
      </c>
    </row>
    <row r="38" spans="1:43" ht="87" customHeight="1" x14ac:dyDescent="0.3">
      <c r="A38" s="683" t="s">
        <v>1325</v>
      </c>
      <c r="B38" s="684" t="s">
        <v>1275</v>
      </c>
      <c r="C38" s="658" t="s">
        <v>1270</v>
      </c>
      <c r="D38" s="703" t="s">
        <v>1326</v>
      </c>
      <c r="E38" s="691">
        <v>634000000</v>
      </c>
      <c r="F38" s="659">
        <v>0</v>
      </c>
      <c r="G38" s="659">
        <v>0</v>
      </c>
      <c r="H38" s="659">
        <v>0</v>
      </c>
      <c r="I38" s="660">
        <v>169</v>
      </c>
      <c r="J38" s="660">
        <v>0</v>
      </c>
      <c r="K38" s="660">
        <v>0</v>
      </c>
      <c r="L38" s="643">
        <f t="shared" si="12"/>
        <v>169</v>
      </c>
      <c r="M38" s="644">
        <v>580083275.95000005</v>
      </c>
      <c r="N38" s="734">
        <v>1400615756.5699999</v>
      </c>
      <c r="O38" s="660">
        <v>169</v>
      </c>
      <c r="P38" s="660">
        <v>0</v>
      </c>
      <c r="Q38" s="659">
        <v>0</v>
      </c>
      <c r="R38" s="659">
        <v>0</v>
      </c>
      <c r="S38" s="659">
        <v>0</v>
      </c>
      <c r="T38" s="660">
        <v>0</v>
      </c>
      <c r="U38" s="660">
        <v>104</v>
      </c>
      <c r="V38" s="660">
        <v>0</v>
      </c>
      <c r="W38" s="659">
        <f t="shared" si="13"/>
        <v>104</v>
      </c>
      <c r="X38" s="660">
        <v>65</v>
      </c>
      <c r="Y38" s="667">
        <f>E38-Z38</f>
        <v>295375482.77999997</v>
      </c>
      <c r="Z38" s="668">
        <v>338624517.22000003</v>
      </c>
      <c r="AA38" s="661">
        <f t="shared" si="16"/>
        <v>0.53410807132492122</v>
      </c>
      <c r="AB38" s="647">
        <f t="shared" si="17"/>
        <v>3256004.9732692312</v>
      </c>
      <c r="AC38" s="669" t="s">
        <v>2061</v>
      </c>
      <c r="AD38" s="658">
        <v>99</v>
      </c>
      <c r="AE38" s="644">
        <v>799719129.89999998</v>
      </c>
      <c r="AF38" s="670">
        <f>161+21+30+69+11+20+4+33+3+10+18+13+2+12+4+6+3+2</f>
        <v>422</v>
      </c>
      <c r="AG38" s="644">
        <v>312875273.92000002</v>
      </c>
      <c r="AH38" s="658">
        <v>0</v>
      </c>
      <c r="AI38" s="658">
        <v>4</v>
      </c>
      <c r="AJ38" s="644">
        <v>15101856.699999999</v>
      </c>
      <c r="AK38" s="1328">
        <f t="shared" si="11"/>
        <v>297773417.22000003</v>
      </c>
      <c r="AL38" s="644">
        <v>165945091.08000001</v>
      </c>
      <c r="AM38" s="644">
        <v>93675306.230000004</v>
      </c>
      <c r="AN38" s="671">
        <v>0</v>
      </c>
      <c r="AO38" s="688">
        <v>0</v>
      </c>
    </row>
    <row r="39" spans="1:43" ht="87" customHeight="1" x14ac:dyDescent="0.3">
      <c r="A39" s="636" t="s">
        <v>1327</v>
      </c>
      <c r="B39" s="684" t="s">
        <v>1282</v>
      </c>
      <c r="C39" s="638" t="s">
        <v>1270</v>
      </c>
      <c r="D39" s="639" t="s">
        <v>1328</v>
      </c>
      <c r="E39" s="657">
        <v>22800000</v>
      </c>
      <c r="F39" s="659">
        <v>0</v>
      </c>
      <c r="G39" s="659">
        <v>0</v>
      </c>
      <c r="H39" s="659">
        <v>0</v>
      </c>
      <c r="I39" s="660">
        <v>49</v>
      </c>
      <c r="J39" s="660">
        <v>0</v>
      </c>
      <c r="K39" s="660">
        <v>0</v>
      </c>
      <c r="L39" s="643">
        <f t="shared" si="12"/>
        <v>49</v>
      </c>
      <c r="M39" s="644">
        <v>20701898.52</v>
      </c>
      <c r="N39" s="734">
        <v>27212982.609999999</v>
      </c>
      <c r="O39" s="660">
        <v>49</v>
      </c>
      <c r="P39" s="660">
        <v>0</v>
      </c>
      <c r="Q39" s="659">
        <v>0</v>
      </c>
      <c r="R39" s="659">
        <v>0</v>
      </c>
      <c r="S39" s="659">
        <v>0</v>
      </c>
      <c r="T39" s="660">
        <v>0</v>
      </c>
      <c r="U39" s="660">
        <v>35</v>
      </c>
      <c r="V39" s="660">
        <v>0</v>
      </c>
      <c r="W39" s="659">
        <f t="shared" si="13"/>
        <v>35</v>
      </c>
      <c r="X39" s="660">
        <v>14</v>
      </c>
      <c r="Y39" s="667">
        <f>E39-Z39</f>
        <v>7836103.4499999993</v>
      </c>
      <c r="Z39" s="735">
        <v>14963896.550000001</v>
      </c>
      <c r="AA39" s="661">
        <f>Z39/E39</f>
        <v>0.65631125219298247</v>
      </c>
      <c r="AB39" s="647">
        <f t="shared" si="17"/>
        <v>427539.90142857144</v>
      </c>
      <c r="AC39" s="650" t="s">
        <v>1250</v>
      </c>
      <c r="AD39" s="658">
        <v>35</v>
      </c>
      <c r="AE39" s="644">
        <v>21109197.579999998</v>
      </c>
      <c r="AF39" s="670">
        <v>0</v>
      </c>
      <c r="AG39" s="644">
        <v>14963896.550000001</v>
      </c>
      <c r="AH39" s="658">
        <v>0</v>
      </c>
      <c r="AI39" s="658">
        <v>0</v>
      </c>
      <c r="AJ39" s="644">
        <v>0</v>
      </c>
      <c r="AK39" s="1328">
        <f t="shared" si="11"/>
        <v>14963896.550000001</v>
      </c>
      <c r="AL39" s="644">
        <v>8927384.2100000009</v>
      </c>
      <c r="AM39" s="644">
        <v>7499620.0499999998</v>
      </c>
      <c r="AN39" s="671">
        <v>0</v>
      </c>
      <c r="AO39" s="688">
        <v>0</v>
      </c>
    </row>
    <row r="40" spans="1:43" ht="87" customHeight="1" x14ac:dyDescent="0.3">
      <c r="A40" s="636" t="s">
        <v>1329</v>
      </c>
      <c r="B40" s="684" t="s">
        <v>1282</v>
      </c>
      <c r="C40" s="638" t="s">
        <v>1294</v>
      </c>
      <c r="D40" s="639" t="s">
        <v>1330</v>
      </c>
      <c r="E40" s="657">
        <v>50000000</v>
      </c>
      <c r="F40" s="659">
        <v>0</v>
      </c>
      <c r="G40" s="659">
        <v>0</v>
      </c>
      <c r="H40" s="659">
        <v>0</v>
      </c>
      <c r="I40" s="660">
        <v>0</v>
      </c>
      <c r="J40" s="660">
        <v>1</v>
      </c>
      <c r="K40" s="660">
        <v>0</v>
      </c>
      <c r="L40" s="643">
        <f t="shared" si="12"/>
        <v>1</v>
      </c>
      <c r="M40" s="644">
        <v>50000000</v>
      </c>
      <c r="N40" s="734">
        <v>50000000</v>
      </c>
      <c r="O40" s="660">
        <v>1</v>
      </c>
      <c r="P40" s="660">
        <v>0</v>
      </c>
      <c r="Q40" s="659">
        <v>0</v>
      </c>
      <c r="R40" s="659">
        <v>0</v>
      </c>
      <c r="S40" s="659">
        <v>0</v>
      </c>
      <c r="T40" s="660">
        <v>0</v>
      </c>
      <c r="U40" s="660">
        <v>1</v>
      </c>
      <c r="V40" s="660">
        <v>0</v>
      </c>
      <c r="W40" s="659">
        <f t="shared" si="13"/>
        <v>1</v>
      </c>
      <c r="X40" s="660">
        <v>0</v>
      </c>
      <c r="Y40" s="667">
        <f>E40-Z40</f>
        <v>0</v>
      </c>
      <c r="Z40" s="735">
        <v>50000000</v>
      </c>
      <c r="AA40" s="661">
        <f>Z40/E40</f>
        <v>1</v>
      </c>
      <c r="AB40" s="647">
        <f t="shared" si="17"/>
        <v>50000000</v>
      </c>
      <c r="AC40" s="650" t="s">
        <v>1250</v>
      </c>
      <c r="AD40" s="658">
        <v>1</v>
      </c>
      <c r="AE40" s="644">
        <v>50000000</v>
      </c>
      <c r="AF40" s="670">
        <v>0</v>
      </c>
      <c r="AG40" s="644">
        <v>50000000</v>
      </c>
      <c r="AH40" s="658">
        <v>0</v>
      </c>
      <c r="AI40" s="658">
        <v>0</v>
      </c>
      <c r="AJ40" s="644">
        <v>0</v>
      </c>
      <c r="AK40" s="1328">
        <f t="shared" si="11"/>
        <v>50000000</v>
      </c>
      <c r="AL40" s="644">
        <v>1425995.3</v>
      </c>
      <c r="AM40" s="644">
        <v>1425995.3</v>
      </c>
      <c r="AN40" s="671">
        <v>0</v>
      </c>
      <c r="AO40" s="688">
        <v>0</v>
      </c>
    </row>
    <row r="41" spans="1:43" ht="259.5" customHeight="1" x14ac:dyDescent="0.3">
      <c r="A41" s="636" t="s">
        <v>1331</v>
      </c>
      <c r="B41" s="699" t="s">
        <v>1275</v>
      </c>
      <c r="C41" s="638" t="s">
        <v>1241</v>
      </c>
      <c r="D41" s="736" t="s">
        <v>1332</v>
      </c>
      <c r="E41" s="657">
        <v>109765300</v>
      </c>
      <c r="F41" s="659">
        <v>0</v>
      </c>
      <c r="G41" s="659">
        <v>0</v>
      </c>
      <c r="H41" s="659">
        <v>0</v>
      </c>
      <c r="I41" s="660">
        <v>0</v>
      </c>
      <c r="J41" s="660">
        <v>30</v>
      </c>
      <c r="K41" s="660">
        <v>0</v>
      </c>
      <c r="L41" s="643">
        <f t="shared" si="12"/>
        <v>30</v>
      </c>
      <c r="M41" s="644">
        <v>239658902.94999999</v>
      </c>
      <c r="N41" s="734">
        <v>401862205.45999998</v>
      </c>
      <c r="O41" s="660">
        <v>30</v>
      </c>
      <c r="P41" s="660">
        <v>0</v>
      </c>
      <c r="Q41" s="659">
        <v>0</v>
      </c>
      <c r="R41" s="659">
        <v>0</v>
      </c>
      <c r="S41" s="659">
        <v>0</v>
      </c>
      <c r="T41" s="660">
        <v>0</v>
      </c>
      <c r="U41" s="660">
        <v>13</v>
      </c>
      <c r="V41" s="660">
        <v>2</v>
      </c>
      <c r="W41" s="659">
        <f t="shared" si="13"/>
        <v>15</v>
      </c>
      <c r="X41" s="660">
        <v>15</v>
      </c>
      <c r="Y41" s="667">
        <f>E41-Z41</f>
        <v>188929.31999999285</v>
      </c>
      <c r="Z41" s="735">
        <v>109576370.68000001</v>
      </c>
      <c r="AA41" s="661">
        <f>Z41/E41</f>
        <v>0.99827878828737326</v>
      </c>
      <c r="AB41" s="647">
        <f t="shared" si="17"/>
        <v>7305091.3786666673</v>
      </c>
      <c r="AC41" s="737" t="s">
        <v>2062</v>
      </c>
      <c r="AD41" s="658">
        <v>12</v>
      </c>
      <c r="AE41" s="644">
        <v>207590220.66</v>
      </c>
      <c r="AF41" s="670">
        <f>1+12+9+2+38+2+1+13</f>
        <v>78</v>
      </c>
      <c r="AG41" s="644">
        <v>88762436.890000001</v>
      </c>
      <c r="AH41" s="658">
        <v>0</v>
      </c>
      <c r="AI41" s="658">
        <v>0</v>
      </c>
      <c r="AJ41" s="644">
        <v>0</v>
      </c>
      <c r="AK41" s="1328">
        <f t="shared" si="11"/>
        <v>88762436.890000001</v>
      </c>
      <c r="AL41" s="644">
        <v>5847517.8399999999</v>
      </c>
      <c r="AM41" s="644">
        <v>5826936.0300000003</v>
      </c>
      <c r="AN41" s="671">
        <v>0</v>
      </c>
      <c r="AO41" s="688">
        <v>0</v>
      </c>
    </row>
    <row r="42" spans="1:43" s="751" customFormat="1" ht="39.950000000000003" customHeight="1" thickBot="1" x14ac:dyDescent="0.35">
      <c r="A42" s="738" t="s">
        <v>1333</v>
      </c>
      <c r="B42" s="739"/>
      <c r="C42" s="740"/>
      <c r="D42" s="741">
        <v>4864000000</v>
      </c>
      <c r="E42" s="742">
        <f>SUM(E15:E41)</f>
        <v>5320956678</v>
      </c>
      <c r="F42" s="743">
        <f t="shared" ref="F42:Z42" si="18">SUM(F13:F41)</f>
        <v>3354</v>
      </c>
      <c r="G42" s="743">
        <f t="shared" si="18"/>
        <v>423</v>
      </c>
      <c r="H42" s="743">
        <f t="shared" si="18"/>
        <v>2591</v>
      </c>
      <c r="I42" s="743">
        <f t="shared" si="18"/>
        <v>1132</v>
      </c>
      <c r="J42" s="743">
        <f t="shared" si="18"/>
        <v>374</v>
      </c>
      <c r="K42" s="743">
        <f t="shared" si="18"/>
        <v>43</v>
      </c>
      <c r="L42" s="743">
        <f t="shared" si="18"/>
        <v>7917</v>
      </c>
      <c r="M42" s="744">
        <f t="shared" si="18"/>
        <v>7669217416.9800014</v>
      </c>
      <c r="N42" s="744">
        <f t="shared" si="18"/>
        <v>14127584962.960001</v>
      </c>
      <c r="O42" s="745">
        <f t="shared" si="18"/>
        <v>7904</v>
      </c>
      <c r="P42" s="745">
        <f t="shared" si="18"/>
        <v>13</v>
      </c>
      <c r="Q42" s="745">
        <f t="shared" si="18"/>
        <v>298</v>
      </c>
      <c r="R42" s="745">
        <f t="shared" si="18"/>
        <v>1399</v>
      </c>
      <c r="S42" s="745">
        <f t="shared" si="18"/>
        <v>618</v>
      </c>
      <c r="T42" s="745">
        <f t="shared" si="18"/>
        <v>1720</v>
      </c>
      <c r="U42" s="745">
        <f t="shared" si="18"/>
        <v>654</v>
      </c>
      <c r="V42" s="745">
        <f t="shared" si="18"/>
        <v>85</v>
      </c>
      <c r="W42" s="745">
        <f t="shared" si="18"/>
        <v>4774</v>
      </c>
      <c r="X42" s="745">
        <f t="shared" si="18"/>
        <v>3016</v>
      </c>
      <c r="Y42" s="744">
        <f>SUM(Y13:Y41)</f>
        <v>802673543.89999986</v>
      </c>
      <c r="Z42" s="746">
        <f t="shared" si="18"/>
        <v>4518283134.1000004</v>
      </c>
      <c r="AA42" s="747">
        <f>Z42/E42</f>
        <v>0.84914864140527035</v>
      </c>
      <c r="AB42" s="744">
        <f t="shared" si="17"/>
        <v>946435.51196062006</v>
      </c>
      <c r="AC42" s="742"/>
      <c r="AD42" s="745">
        <f t="shared" ref="AD42:AO42" si="19">SUM(AD13:AD41)</f>
        <v>4729</v>
      </c>
      <c r="AE42" s="741">
        <f t="shared" si="19"/>
        <v>9797637229.5200005</v>
      </c>
      <c r="AF42" s="748">
        <f t="shared" si="19"/>
        <v>13614.84</v>
      </c>
      <c r="AG42" s="744">
        <f t="shared" si="19"/>
        <v>4438283014.6413002</v>
      </c>
      <c r="AH42" s="745">
        <f t="shared" si="19"/>
        <v>3073</v>
      </c>
      <c r="AI42" s="749">
        <f t="shared" si="19"/>
        <v>224</v>
      </c>
      <c r="AJ42" s="744">
        <f>SUM(AJ13:AJ41)</f>
        <v>174809494.44999999</v>
      </c>
      <c r="AK42" s="744">
        <f>SUM(AK13:AK41)</f>
        <v>4263473520.1913009</v>
      </c>
      <c r="AL42" s="744">
        <f t="shared" si="19"/>
        <v>5816663033.5500002</v>
      </c>
      <c r="AM42" s="744">
        <f t="shared" si="19"/>
        <v>3157283445.4300008</v>
      </c>
      <c r="AN42" s="744">
        <f>SUM(AN13:AN41)</f>
        <v>4145268672.9000001</v>
      </c>
      <c r="AO42" s="744">
        <f t="shared" si="19"/>
        <v>3523478343.2200007</v>
      </c>
      <c r="AP42" s="750"/>
    </row>
    <row r="43" spans="1:43" s="761" customFormat="1" ht="39.950000000000003" customHeight="1" thickBot="1" x14ac:dyDescent="0.35">
      <c r="A43" s="752" t="s">
        <v>1334</v>
      </c>
      <c r="B43" s="753"/>
      <c r="C43" s="754"/>
      <c r="D43" s="755">
        <f>D42+D9</f>
        <v>7219012000</v>
      </c>
      <c r="E43" s="756">
        <f t="shared" ref="E43:Z43" si="20">E9+E42</f>
        <v>7679174414.3000002</v>
      </c>
      <c r="F43" s="757">
        <f>F9+F42</f>
        <v>3407</v>
      </c>
      <c r="G43" s="757">
        <f t="shared" si="20"/>
        <v>557</v>
      </c>
      <c r="H43" s="757">
        <f t="shared" si="20"/>
        <v>2591</v>
      </c>
      <c r="I43" s="757">
        <f t="shared" si="20"/>
        <v>1132</v>
      </c>
      <c r="J43" s="757">
        <f t="shared" si="20"/>
        <v>734</v>
      </c>
      <c r="K43" s="757">
        <f t="shared" si="20"/>
        <v>43</v>
      </c>
      <c r="L43" s="757">
        <f t="shared" si="20"/>
        <v>8464</v>
      </c>
      <c r="M43" s="755">
        <f t="shared" si="20"/>
        <v>14326823482.511002</v>
      </c>
      <c r="N43" s="755">
        <f t="shared" si="20"/>
        <v>25081624315.650002</v>
      </c>
      <c r="O43" s="758">
        <f t="shared" si="20"/>
        <v>8393</v>
      </c>
      <c r="P43" s="757">
        <f t="shared" si="20"/>
        <v>71</v>
      </c>
      <c r="Q43" s="757">
        <f t="shared" si="20"/>
        <v>300</v>
      </c>
      <c r="R43" s="757">
        <f t="shared" si="20"/>
        <v>1437</v>
      </c>
      <c r="S43" s="757">
        <f t="shared" si="20"/>
        <v>667</v>
      </c>
      <c r="T43" s="757">
        <f>T9+T42</f>
        <v>1723</v>
      </c>
      <c r="U43" s="757">
        <f>U9+U42</f>
        <v>772</v>
      </c>
      <c r="V43" s="757">
        <f>V9+V42</f>
        <v>86</v>
      </c>
      <c r="W43" s="757">
        <f t="shared" si="20"/>
        <v>4985</v>
      </c>
      <c r="X43" s="757">
        <f t="shared" si="20"/>
        <v>3294</v>
      </c>
      <c r="Y43" s="757">
        <f>Y9+Y42</f>
        <v>785022930.3499999</v>
      </c>
      <c r="Z43" s="755">
        <f t="shared" si="20"/>
        <v>6894151483.9500008</v>
      </c>
      <c r="AA43" s="759">
        <f t="shared" si="16"/>
        <v>0.89777248334298199</v>
      </c>
      <c r="AB43" s="755">
        <f t="shared" si="17"/>
        <v>1382979.2344934805</v>
      </c>
      <c r="AC43" s="756"/>
      <c r="AD43" s="757">
        <f t="shared" ref="AD43:AO43" si="21">AD9+AD42</f>
        <v>4926</v>
      </c>
      <c r="AE43" s="755">
        <f t="shared" si="21"/>
        <v>13832878639.82</v>
      </c>
      <c r="AF43" s="757">
        <f t="shared" si="21"/>
        <v>13719.84</v>
      </c>
      <c r="AG43" s="760">
        <f t="shared" si="21"/>
        <v>6684133775.2213001</v>
      </c>
      <c r="AH43" s="757">
        <f t="shared" si="21"/>
        <v>3108</v>
      </c>
      <c r="AI43" s="754">
        <f t="shared" si="21"/>
        <v>230</v>
      </c>
      <c r="AJ43" s="755">
        <f t="shared" si="21"/>
        <v>200294462.19</v>
      </c>
      <c r="AK43" s="755">
        <f>AK9+AK42</f>
        <v>6483839313.0313015</v>
      </c>
      <c r="AL43" s="755">
        <f t="shared" si="21"/>
        <v>6890655975.6000004</v>
      </c>
      <c r="AM43" s="755">
        <f t="shared" si="21"/>
        <v>3901089855.5300007</v>
      </c>
      <c r="AN43" s="755">
        <f t="shared" si="21"/>
        <v>4957233651.75</v>
      </c>
      <c r="AO43" s="755">
        <f t="shared" si="21"/>
        <v>4213648565.8600006</v>
      </c>
    </row>
    <row r="44" spans="1:43" ht="12.2" customHeight="1" thickBot="1" x14ac:dyDescent="0.35">
      <c r="A44" s="762"/>
      <c r="B44" s="762"/>
      <c r="C44" s="763"/>
      <c r="D44" s="763"/>
      <c r="E44" s="764"/>
      <c r="F44" s="764"/>
      <c r="G44" s="764"/>
      <c r="H44" s="764"/>
      <c r="I44" s="764"/>
      <c r="J44" s="764"/>
      <c r="K44" s="764"/>
      <c r="L44" s="764"/>
      <c r="M44" s="764"/>
      <c r="N44" s="764"/>
      <c r="O44" s="765"/>
      <c r="P44" s="765"/>
      <c r="Q44" s="765"/>
      <c r="R44" s="765"/>
      <c r="S44" s="765"/>
      <c r="T44" s="765"/>
      <c r="U44" s="765"/>
      <c r="V44" s="765"/>
      <c r="W44" s="765"/>
      <c r="X44" s="765"/>
      <c r="Y44" s="765"/>
      <c r="Z44" s="766"/>
      <c r="AA44" s="765"/>
      <c r="AB44" s="765"/>
      <c r="AC44" s="765"/>
      <c r="AD44" s="765"/>
      <c r="AE44" s="767"/>
      <c r="AF44" s="767"/>
      <c r="AG44" s="765"/>
      <c r="AH44" s="768"/>
      <c r="AI44" s="768"/>
      <c r="AJ44" s="768"/>
      <c r="AK44" s="768"/>
      <c r="AL44" s="765"/>
      <c r="AM44" s="765"/>
      <c r="AN44" s="765"/>
      <c r="AO44" s="695"/>
      <c r="AP44" s="695"/>
      <c r="AQ44" s="695"/>
    </row>
    <row r="45" spans="1:43" ht="24" thickBot="1" x14ac:dyDescent="0.35">
      <c r="A45" s="1534" t="s">
        <v>1335</v>
      </c>
      <c r="B45" s="1534"/>
      <c r="C45" s="1534"/>
      <c r="D45" s="1534"/>
      <c r="E45" s="625" t="s">
        <v>1336</v>
      </c>
      <c r="F45" s="764"/>
      <c r="G45" s="764"/>
      <c r="H45" s="764"/>
      <c r="I45" s="764"/>
      <c r="J45" s="764"/>
      <c r="K45" s="764"/>
      <c r="L45" s="764"/>
      <c r="M45" s="764"/>
      <c r="N45" s="764"/>
      <c r="O45" s="765"/>
      <c r="P45" s="765"/>
      <c r="Q45" s="765"/>
      <c r="R45" s="765"/>
      <c r="S45" s="765"/>
      <c r="T45" s="765"/>
      <c r="U45" s="765"/>
      <c r="V45" s="765"/>
      <c r="W45" s="765"/>
      <c r="X45" s="765"/>
      <c r="Y45" s="765"/>
      <c r="Z45" s="765"/>
      <c r="AA45" s="765"/>
      <c r="AB45" s="766"/>
      <c r="AC45" s="765"/>
      <c r="AD45" s="765"/>
      <c r="AE45" s="767"/>
      <c r="AF45" s="767"/>
      <c r="AG45" s="765"/>
      <c r="AH45" s="768"/>
      <c r="AI45" s="768"/>
      <c r="AJ45" s="768"/>
      <c r="AK45" s="768"/>
      <c r="AL45" s="765"/>
      <c r="AM45" s="765"/>
      <c r="AN45" s="765"/>
      <c r="AO45" s="695"/>
      <c r="AP45" s="695"/>
      <c r="AQ45" s="695"/>
    </row>
    <row r="46" spans="1:43" ht="60" customHeight="1" thickBot="1" x14ac:dyDescent="0.35">
      <c r="A46" s="769" t="s">
        <v>1337</v>
      </c>
      <c r="B46" s="770" t="s">
        <v>1338</v>
      </c>
      <c r="C46" s="771" t="s">
        <v>1339</v>
      </c>
      <c r="D46" s="772" t="s">
        <v>1245</v>
      </c>
      <c r="E46" s="773">
        <f>[8]FI!F4+[8]FI!F5+[8]FI!F6+[8]FI!F7+[8]FI!F8</f>
        <v>1703016770.4000001</v>
      </c>
      <c r="F46" s="773"/>
      <c r="G46" s="774"/>
      <c r="H46" s="774"/>
      <c r="I46" s="774"/>
      <c r="J46" s="774"/>
      <c r="K46" s="774"/>
      <c r="L46" s="774" t="s">
        <v>1245</v>
      </c>
      <c r="M46" s="774"/>
      <c r="N46" s="774"/>
      <c r="O46" s="774" t="s">
        <v>1245</v>
      </c>
      <c r="P46" s="774"/>
      <c r="Q46" s="774"/>
      <c r="R46" s="774"/>
      <c r="S46" s="774"/>
      <c r="T46" s="774"/>
      <c r="U46" s="774"/>
      <c r="V46" s="774"/>
      <c r="W46" s="774" t="s">
        <v>1245</v>
      </c>
      <c r="X46" s="774" t="s">
        <v>1245</v>
      </c>
      <c r="Y46" s="774"/>
      <c r="Z46" s="774" t="s">
        <v>1245</v>
      </c>
      <c r="AA46" s="774"/>
      <c r="AB46" s="774"/>
      <c r="AC46" s="775"/>
      <c r="AD46" s="776" t="s">
        <v>1245</v>
      </c>
      <c r="AE46" s="776" t="s">
        <v>1245</v>
      </c>
      <c r="AF46" s="776">
        <v>2960</v>
      </c>
      <c r="AG46" s="776" t="s">
        <v>1245</v>
      </c>
      <c r="AH46" s="776" t="s">
        <v>1245</v>
      </c>
      <c r="AI46" s="776" t="s">
        <v>1245</v>
      </c>
      <c r="AJ46" s="776" t="s">
        <v>1245</v>
      </c>
      <c r="AK46" s="776" t="s">
        <v>1245</v>
      </c>
      <c r="AL46" s="777">
        <v>927200000</v>
      </c>
      <c r="AM46" s="777">
        <v>1290716770.4000001</v>
      </c>
      <c r="AN46" s="777">
        <v>927200000</v>
      </c>
      <c r="AO46" s="777">
        <v>788119993.48000002</v>
      </c>
    </row>
    <row r="47" spans="1:43" ht="60" customHeight="1" thickBot="1" x14ac:dyDescent="0.35">
      <c r="A47" s="636" t="s">
        <v>1340</v>
      </c>
      <c r="B47" s="778" t="s">
        <v>1338</v>
      </c>
      <c r="C47" s="638" t="s">
        <v>1339</v>
      </c>
      <c r="D47" s="703" t="s">
        <v>1245</v>
      </c>
      <c r="E47" s="663">
        <v>828263590</v>
      </c>
      <c r="F47" s="663"/>
      <c r="G47" s="646"/>
      <c r="H47" s="646"/>
      <c r="I47" s="646"/>
      <c r="J47" s="646"/>
      <c r="K47" s="646"/>
      <c r="L47" s="646" t="s">
        <v>1245</v>
      </c>
      <c r="M47" s="646"/>
      <c r="N47" s="646"/>
      <c r="O47" s="646" t="s">
        <v>1245</v>
      </c>
      <c r="P47" s="646"/>
      <c r="Q47" s="646"/>
      <c r="R47" s="646"/>
      <c r="S47" s="646"/>
      <c r="T47" s="646"/>
      <c r="U47" s="646"/>
      <c r="V47" s="646"/>
      <c r="W47" s="646" t="s">
        <v>1245</v>
      </c>
      <c r="X47" s="646" t="s">
        <v>1245</v>
      </c>
      <c r="Y47" s="646"/>
      <c r="Z47" s="646" t="s">
        <v>1245</v>
      </c>
      <c r="AA47" s="646" t="s">
        <v>1245</v>
      </c>
      <c r="AB47" s="646"/>
      <c r="AC47" s="660" t="s">
        <v>1341</v>
      </c>
      <c r="AD47" s="642" t="s">
        <v>1245</v>
      </c>
      <c r="AE47" s="642" t="s">
        <v>1245</v>
      </c>
      <c r="AF47" s="642">
        <v>800</v>
      </c>
      <c r="AG47" s="642" t="s">
        <v>1245</v>
      </c>
      <c r="AH47" s="642" t="s">
        <v>1245</v>
      </c>
      <c r="AI47" s="642" t="s">
        <v>1245</v>
      </c>
      <c r="AJ47" s="776" t="s">
        <v>1245</v>
      </c>
      <c r="AK47" s="776" t="s">
        <v>1245</v>
      </c>
      <c r="AL47" s="779">
        <v>828263590</v>
      </c>
      <c r="AM47" s="779">
        <v>828263590</v>
      </c>
      <c r="AN47" s="780">
        <v>809439417.5</v>
      </c>
      <c r="AO47" s="781">
        <v>688023499.20000005</v>
      </c>
    </row>
    <row r="48" spans="1:43" ht="75.2" customHeight="1" thickBot="1" x14ac:dyDescent="0.35">
      <c r="A48" s="636" t="s">
        <v>1342</v>
      </c>
      <c r="B48" s="778" t="s">
        <v>1338</v>
      </c>
      <c r="C48" s="638" t="s">
        <v>1339</v>
      </c>
      <c r="D48" s="782" t="s">
        <v>1245</v>
      </c>
      <c r="E48" s="783">
        <v>266000000</v>
      </c>
      <c r="F48" s="783"/>
      <c r="G48" s="784"/>
      <c r="H48" s="784"/>
      <c r="I48" s="784"/>
      <c r="J48" s="784"/>
      <c r="K48" s="784"/>
      <c r="L48" s="784" t="s">
        <v>1245</v>
      </c>
      <c r="M48" s="784"/>
      <c r="N48" s="784"/>
      <c r="O48" s="784" t="s">
        <v>1245</v>
      </c>
      <c r="P48" s="784"/>
      <c r="Q48" s="784"/>
      <c r="R48" s="784"/>
      <c r="S48" s="784"/>
      <c r="T48" s="784"/>
      <c r="U48" s="784"/>
      <c r="V48" s="784"/>
      <c r="W48" s="646" t="s">
        <v>1245</v>
      </c>
      <c r="X48" s="646" t="s">
        <v>1245</v>
      </c>
      <c r="Y48" s="784"/>
      <c r="Z48" s="646" t="s">
        <v>1245</v>
      </c>
      <c r="AA48" s="646" t="s">
        <v>1245</v>
      </c>
      <c r="AB48" s="784"/>
      <c r="AC48" s="660" t="s">
        <v>1343</v>
      </c>
      <c r="AD48" s="642" t="s">
        <v>1245</v>
      </c>
      <c r="AE48" s="642" t="s">
        <v>1245</v>
      </c>
      <c r="AF48" s="785"/>
      <c r="AG48" s="642" t="s">
        <v>1245</v>
      </c>
      <c r="AH48" s="642" t="s">
        <v>1245</v>
      </c>
      <c r="AI48" s="642" t="s">
        <v>1245</v>
      </c>
      <c r="AJ48" s="776" t="s">
        <v>1245</v>
      </c>
      <c r="AK48" s="776" t="s">
        <v>1245</v>
      </c>
      <c r="AL48" s="786">
        <v>259945350</v>
      </c>
      <c r="AM48" s="786">
        <v>259945350</v>
      </c>
      <c r="AN48" s="787">
        <v>78911981.25</v>
      </c>
      <c r="AO48" s="788">
        <v>67075183.509999998</v>
      </c>
    </row>
    <row r="49" spans="1:42" ht="188.45" customHeight="1" x14ac:dyDescent="0.3">
      <c r="A49" s="636" t="s">
        <v>1344</v>
      </c>
      <c r="B49" s="789" t="s">
        <v>1338</v>
      </c>
      <c r="C49" s="638" t="s">
        <v>1339</v>
      </c>
      <c r="D49" s="782" t="s">
        <v>1245</v>
      </c>
      <c r="E49" s="783">
        <v>2622000000</v>
      </c>
      <c r="F49" s="783"/>
      <c r="G49" s="784"/>
      <c r="H49" s="784"/>
      <c r="I49" s="784"/>
      <c r="J49" s="784"/>
      <c r="K49" s="784"/>
      <c r="L49" s="784" t="s">
        <v>1245</v>
      </c>
      <c r="M49" s="784"/>
      <c r="N49" s="784"/>
      <c r="O49" s="784" t="s">
        <v>1245</v>
      </c>
      <c r="P49" s="784"/>
      <c r="Q49" s="784"/>
      <c r="R49" s="784"/>
      <c r="S49" s="784"/>
      <c r="T49" s="784"/>
      <c r="U49" s="784"/>
      <c r="V49" s="784"/>
      <c r="W49" s="646" t="s">
        <v>1245</v>
      </c>
      <c r="X49" s="646" t="s">
        <v>1245</v>
      </c>
      <c r="Y49" s="784"/>
      <c r="Z49" s="646" t="s">
        <v>1245</v>
      </c>
      <c r="AA49" s="646" t="s">
        <v>1245</v>
      </c>
      <c r="AB49" s="784"/>
      <c r="AC49" s="660" t="s">
        <v>1345</v>
      </c>
      <c r="AD49" s="642" t="s">
        <v>1245</v>
      </c>
      <c r="AE49" s="642" t="s">
        <v>1245</v>
      </c>
      <c r="AF49" s="785"/>
      <c r="AG49" s="642" t="s">
        <v>1245</v>
      </c>
      <c r="AH49" s="642" t="s">
        <v>1245</v>
      </c>
      <c r="AI49" s="642" t="s">
        <v>1245</v>
      </c>
      <c r="AJ49" s="776" t="s">
        <v>1245</v>
      </c>
      <c r="AK49" s="776" t="s">
        <v>1245</v>
      </c>
      <c r="AL49" s="786">
        <v>0</v>
      </c>
      <c r="AM49" s="786">
        <v>1862000000</v>
      </c>
      <c r="AN49" s="787">
        <v>0</v>
      </c>
      <c r="AO49" s="788">
        <v>0</v>
      </c>
    </row>
    <row r="50" spans="1:42" s="799" customFormat="1" ht="39.950000000000003" customHeight="1" thickBot="1" x14ac:dyDescent="0.35">
      <c r="A50" s="790" t="s">
        <v>1346</v>
      </c>
      <c r="B50" s="791"/>
      <c r="C50" s="792"/>
      <c r="D50" s="793">
        <f>D43+E46+E47+E48</f>
        <v>10016292360.4</v>
      </c>
      <c r="E50" s="794">
        <f>E43+E46+E47+E48</f>
        <v>10476454774.700001</v>
      </c>
      <c r="F50" s="794"/>
      <c r="G50" s="795"/>
      <c r="H50" s="795"/>
      <c r="I50" s="795"/>
      <c r="J50" s="795"/>
      <c r="K50" s="795"/>
      <c r="L50" s="795"/>
      <c r="M50" s="795"/>
      <c r="N50" s="795"/>
      <c r="O50" s="795"/>
      <c r="P50" s="795"/>
      <c r="Q50" s="795"/>
      <c r="R50" s="795"/>
      <c r="S50" s="795"/>
      <c r="T50" s="795"/>
      <c r="U50" s="795"/>
      <c r="V50" s="795"/>
      <c r="W50" s="795"/>
      <c r="X50" s="795"/>
      <c r="Y50" s="795"/>
      <c r="Z50" s="796"/>
      <c r="AA50" s="796"/>
      <c r="AB50" s="796"/>
      <c r="AC50" s="797"/>
      <c r="AD50" s="793"/>
      <c r="AE50" s="798"/>
      <c r="AF50" s="793">
        <f>SUM(AF46:AF49)</f>
        <v>3760</v>
      </c>
      <c r="AG50" s="798"/>
      <c r="AH50" s="793"/>
      <c r="AI50" s="793"/>
      <c r="AJ50" s="793"/>
      <c r="AK50" s="793"/>
      <c r="AL50" s="798">
        <f>AL43+AL46+AL47+AL48+AL49</f>
        <v>8906064915.6000004</v>
      </c>
      <c r="AM50" s="798">
        <f>AM46+AM43+AM47+AM48+AM49</f>
        <v>8142015565.9300003</v>
      </c>
      <c r="AN50" s="798">
        <f>AN46+AN47+AN43+AN48+AN49</f>
        <v>6772785050.5</v>
      </c>
      <c r="AO50" s="798">
        <f>AO46+AO47+AO43+AO49+AO48</f>
        <v>5756867242.0500011</v>
      </c>
    </row>
    <row r="51" spans="1:42" ht="39.950000000000003" customHeight="1" x14ac:dyDescent="0.3">
      <c r="A51" s="800"/>
      <c r="B51" s="800"/>
      <c r="C51" s="800"/>
      <c r="D51" s="800"/>
      <c r="E51" s="801">
        <f>E49+E48+E47+E46</f>
        <v>5419280360.3999996</v>
      </c>
      <c r="F51" s="801"/>
      <c r="G51" s="801"/>
      <c r="H51" s="801"/>
      <c r="I51" s="801"/>
      <c r="J51" s="801"/>
      <c r="K51" s="801"/>
      <c r="L51" s="801"/>
      <c r="M51" s="801"/>
      <c r="N51" s="802"/>
      <c r="O51" s="802"/>
      <c r="P51" s="802"/>
      <c r="Q51" s="802"/>
      <c r="R51" s="802"/>
      <c r="S51" s="802"/>
      <c r="T51" s="802"/>
      <c r="U51" s="802"/>
      <c r="V51" s="802"/>
      <c r="W51" s="802"/>
      <c r="X51" s="802"/>
      <c r="Y51" s="802"/>
      <c r="Z51" s="802"/>
      <c r="AA51" s="802"/>
      <c r="AB51" s="803"/>
      <c r="AC51" s="803"/>
      <c r="AD51" s="804"/>
      <c r="AE51" s="805"/>
      <c r="AF51" s="805"/>
      <c r="AG51" s="806"/>
      <c r="AH51" s="806"/>
      <c r="AI51" s="805"/>
      <c r="AJ51" s="805"/>
      <c r="AK51" s="805"/>
      <c r="AL51" s="805"/>
      <c r="AM51" s="806"/>
      <c r="AN51" s="806"/>
      <c r="AO51" s="807"/>
      <c r="AP51" s="695"/>
    </row>
    <row r="52" spans="1:42" x14ac:dyDescent="0.3">
      <c r="B52" s="808" t="s">
        <v>14</v>
      </c>
      <c r="C52" s="809"/>
      <c r="D52" s="809"/>
      <c r="E52" s="810">
        <f>E8</f>
        <v>1708381956.74</v>
      </c>
      <c r="F52" s="811">
        <f t="shared" ref="F52:AO52" si="22">F4+F8</f>
        <v>51</v>
      </c>
      <c r="G52" s="811">
        <f t="shared" si="22"/>
        <v>104</v>
      </c>
      <c r="H52" s="811">
        <f t="shared" si="22"/>
        <v>0</v>
      </c>
      <c r="I52" s="811">
        <f t="shared" si="22"/>
        <v>0</v>
      </c>
      <c r="J52" s="811">
        <f t="shared" si="22"/>
        <v>360</v>
      </c>
      <c r="K52" s="811">
        <f t="shared" si="22"/>
        <v>0</v>
      </c>
      <c r="L52" s="811">
        <f t="shared" si="22"/>
        <v>515</v>
      </c>
      <c r="M52" s="812">
        <f t="shared" si="22"/>
        <v>4917729972.1300001</v>
      </c>
      <c r="N52" s="812">
        <f t="shared" si="22"/>
        <v>8518167351.8299999</v>
      </c>
      <c r="O52" s="811">
        <f t="shared" si="22"/>
        <v>457</v>
      </c>
      <c r="P52" s="811">
        <f t="shared" si="22"/>
        <v>58</v>
      </c>
      <c r="Q52" s="811">
        <f t="shared" si="22"/>
        <v>0</v>
      </c>
      <c r="R52" s="811">
        <f t="shared" si="22"/>
        <v>38</v>
      </c>
      <c r="S52" s="811">
        <f t="shared" si="22"/>
        <v>49</v>
      </c>
      <c r="T52" s="811">
        <f t="shared" si="22"/>
        <v>0</v>
      </c>
      <c r="U52" s="811">
        <f t="shared" si="22"/>
        <v>112</v>
      </c>
      <c r="V52" s="811">
        <f t="shared" si="22"/>
        <v>1</v>
      </c>
      <c r="W52" s="811">
        <f t="shared" si="22"/>
        <v>200</v>
      </c>
      <c r="X52" s="811">
        <f t="shared" si="22"/>
        <v>257</v>
      </c>
      <c r="Y52" s="812">
        <f>E52-Z52</f>
        <v>-59236882.789999962</v>
      </c>
      <c r="Z52" s="812">
        <f t="shared" si="22"/>
        <v>1767618839.53</v>
      </c>
      <c r="AA52" s="813">
        <f>Z52/E52</f>
        <v>1.0346742615468956</v>
      </c>
      <c r="AB52" s="812">
        <f>Z52/W52</f>
        <v>8838094.1976500005</v>
      </c>
      <c r="AC52" s="814"/>
      <c r="AD52" s="811">
        <f t="shared" si="22"/>
        <v>186</v>
      </c>
      <c r="AE52" s="812">
        <f>AE4+AE8</f>
        <v>3067046171.9099998</v>
      </c>
      <c r="AF52" s="811" t="s">
        <v>1245</v>
      </c>
      <c r="AG52" s="810">
        <f t="shared" si="22"/>
        <v>1637601250.26</v>
      </c>
      <c r="AH52" s="811">
        <f t="shared" si="22"/>
        <v>35</v>
      </c>
      <c r="AI52" s="811">
        <f t="shared" si="22"/>
        <v>6</v>
      </c>
      <c r="AJ52" s="811"/>
      <c r="AK52" s="811"/>
      <c r="AL52" s="812">
        <f t="shared" si="22"/>
        <v>893545414.99000001</v>
      </c>
      <c r="AM52" s="810">
        <f>AM4+AM8</f>
        <v>567462677.09000003</v>
      </c>
      <c r="AN52" s="812">
        <f t="shared" si="22"/>
        <v>747036652.91999996</v>
      </c>
      <c r="AO52" s="812">
        <f t="shared" si="22"/>
        <v>634981146.35000002</v>
      </c>
    </row>
    <row r="53" spans="1:42" x14ac:dyDescent="0.3">
      <c r="B53" s="808" t="s">
        <v>16</v>
      </c>
      <c r="C53" s="809"/>
      <c r="D53" s="809"/>
      <c r="E53" s="810">
        <f>SUM(E5,E6,E7)</f>
        <v>649835779.55999994</v>
      </c>
      <c r="F53" s="811">
        <f t="shared" ref="F53:AO53" si="23">SUM(F5,F6,F7)</f>
        <v>2</v>
      </c>
      <c r="G53" s="811">
        <f t="shared" si="23"/>
        <v>30</v>
      </c>
      <c r="H53" s="811">
        <f t="shared" si="23"/>
        <v>0</v>
      </c>
      <c r="I53" s="811">
        <f t="shared" si="23"/>
        <v>0</v>
      </c>
      <c r="J53" s="811">
        <f t="shared" si="23"/>
        <v>0</v>
      </c>
      <c r="K53" s="811">
        <f t="shared" si="23"/>
        <v>0</v>
      </c>
      <c r="L53" s="811">
        <f t="shared" si="23"/>
        <v>32</v>
      </c>
      <c r="M53" s="812">
        <f t="shared" si="23"/>
        <v>1739876093.401</v>
      </c>
      <c r="N53" s="812">
        <f t="shared" si="23"/>
        <v>2435872000.8600001</v>
      </c>
      <c r="O53" s="811">
        <f t="shared" si="23"/>
        <v>32</v>
      </c>
      <c r="P53" s="811">
        <f t="shared" si="23"/>
        <v>0</v>
      </c>
      <c r="Q53" s="811">
        <f t="shared" si="23"/>
        <v>2</v>
      </c>
      <c r="R53" s="811">
        <f t="shared" si="23"/>
        <v>0</v>
      </c>
      <c r="S53" s="811">
        <f t="shared" si="23"/>
        <v>0</v>
      </c>
      <c r="T53" s="811">
        <f t="shared" si="23"/>
        <v>3</v>
      </c>
      <c r="U53" s="811">
        <f t="shared" si="23"/>
        <v>6</v>
      </c>
      <c r="V53" s="811">
        <f t="shared" si="23"/>
        <v>0</v>
      </c>
      <c r="W53" s="811">
        <f t="shared" si="23"/>
        <v>11</v>
      </c>
      <c r="X53" s="811">
        <f t="shared" si="23"/>
        <v>21</v>
      </c>
      <c r="Y53" s="812">
        <f>E53-Z53</f>
        <v>41586269.23999989</v>
      </c>
      <c r="Z53" s="812">
        <f t="shared" si="23"/>
        <v>608249510.32000005</v>
      </c>
      <c r="AA53" s="813">
        <f t="shared" ref="AA53:AA57" si="24">Z53/E53</f>
        <v>0.93600495610112799</v>
      </c>
      <c r="AB53" s="812">
        <f t="shared" ref="AB53:AB57" si="25">Z53/W53</f>
        <v>55295410.029090911</v>
      </c>
      <c r="AC53" s="815"/>
      <c r="AD53" s="811">
        <f t="shared" si="23"/>
        <v>11</v>
      </c>
      <c r="AE53" s="812">
        <f>SUM(AE5,AE6,AE7)</f>
        <v>968195238.38999999</v>
      </c>
      <c r="AF53" s="811">
        <f t="shared" si="23"/>
        <v>105</v>
      </c>
      <c r="AG53" s="810">
        <f t="shared" si="23"/>
        <v>608249510.32000005</v>
      </c>
      <c r="AH53" s="811">
        <f t="shared" si="23"/>
        <v>0</v>
      </c>
      <c r="AI53" s="811">
        <f t="shared" si="23"/>
        <v>0</v>
      </c>
      <c r="AJ53" s="811"/>
      <c r="AK53" s="811"/>
      <c r="AL53" s="812">
        <f t="shared" si="23"/>
        <v>180447527.06</v>
      </c>
      <c r="AM53" s="810">
        <f t="shared" si="23"/>
        <v>176343733.00999999</v>
      </c>
      <c r="AN53" s="812">
        <f t="shared" si="23"/>
        <v>64928325.929999992</v>
      </c>
      <c r="AO53" s="812">
        <f t="shared" si="23"/>
        <v>55189076.289999999</v>
      </c>
    </row>
    <row r="54" spans="1:42" x14ac:dyDescent="0.3">
      <c r="B54" s="808" t="s">
        <v>20</v>
      </c>
      <c r="C54" s="809"/>
      <c r="D54" s="809"/>
      <c r="E54" s="810">
        <f>SUM(E46,E47,E48,E49)</f>
        <v>5419280360.3999996</v>
      </c>
      <c r="F54" s="811"/>
      <c r="G54" s="811"/>
      <c r="H54" s="811"/>
      <c r="I54" s="811"/>
      <c r="J54" s="811"/>
      <c r="K54" s="811"/>
      <c r="L54" s="811"/>
      <c r="M54" s="812"/>
      <c r="N54" s="812"/>
      <c r="O54" s="811"/>
      <c r="P54" s="811"/>
      <c r="Q54" s="811"/>
      <c r="R54" s="811"/>
      <c r="S54" s="811"/>
      <c r="T54" s="811"/>
      <c r="U54" s="811"/>
      <c r="V54" s="811"/>
      <c r="W54" s="811"/>
      <c r="X54" s="811"/>
      <c r="Y54" s="812"/>
      <c r="Z54" s="812"/>
      <c r="AA54" s="813"/>
      <c r="AB54" s="812"/>
      <c r="AC54" s="815"/>
      <c r="AD54" s="811"/>
      <c r="AE54" s="812"/>
      <c r="AF54" s="811">
        <f t="shared" ref="AF54:AO54" si="26">SUM(AF46,AF47,AF48,AF49)</f>
        <v>3760</v>
      </c>
      <c r="AG54" s="810"/>
      <c r="AH54" s="811"/>
      <c r="AI54" s="811"/>
      <c r="AJ54" s="811"/>
      <c r="AK54" s="811"/>
      <c r="AL54" s="812">
        <f t="shared" si="26"/>
        <v>2015408940</v>
      </c>
      <c r="AM54" s="810">
        <f t="shared" si="26"/>
        <v>4240925710.4000001</v>
      </c>
      <c r="AN54" s="812">
        <f t="shared" si="26"/>
        <v>1815551398.75</v>
      </c>
      <c r="AO54" s="812">
        <f t="shared" si="26"/>
        <v>1543218676.1900001</v>
      </c>
    </row>
    <row r="55" spans="1:42" x14ac:dyDescent="0.3">
      <c r="B55" s="808" t="s">
        <v>22</v>
      </c>
      <c r="C55" s="816"/>
      <c r="D55" s="816"/>
      <c r="E55" s="810">
        <f>SUM(E20,E24,E25,E26,E36,E39,E40)</f>
        <v>1055275418</v>
      </c>
      <c r="F55" s="811">
        <f t="shared" ref="F55:AO55" si="27">SUM(F20,F24,F25,F26,F36,F39,F40)</f>
        <v>63</v>
      </c>
      <c r="G55" s="811">
        <f t="shared" si="27"/>
        <v>115</v>
      </c>
      <c r="H55" s="811">
        <f t="shared" si="27"/>
        <v>0</v>
      </c>
      <c r="I55" s="811">
        <f t="shared" si="27"/>
        <v>50</v>
      </c>
      <c r="J55" s="811">
        <f t="shared" si="27"/>
        <v>1</v>
      </c>
      <c r="K55" s="811">
        <f t="shared" si="27"/>
        <v>0</v>
      </c>
      <c r="L55" s="811">
        <f t="shared" si="27"/>
        <v>229</v>
      </c>
      <c r="M55" s="812">
        <f t="shared" si="27"/>
        <v>1215972702.53</v>
      </c>
      <c r="N55" s="812">
        <f t="shared" si="27"/>
        <v>1562169009.04</v>
      </c>
      <c r="O55" s="811">
        <f t="shared" si="27"/>
        <v>229</v>
      </c>
      <c r="P55" s="811">
        <f t="shared" si="27"/>
        <v>0</v>
      </c>
      <c r="Q55" s="811">
        <f t="shared" si="27"/>
        <v>0</v>
      </c>
      <c r="R55" s="811">
        <f t="shared" si="27"/>
        <v>46</v>
      </c>
      <c r="S55" s="811">
        <f t="shared" si="27"/>
        <v>34</v>
      </c>
      <c r="T55" s="811">
        <f t="shared" si="27"/>
        <v>47</v>
      </c>
      <c r="U55" s="811">
        <f t="shared" si="27"/>
        <v>36</v>
      </c>
      <c r="V55" s="811">
        <f t="shared" si="27"/>
        <v>0</v>
      </c>
      <c r="W55" s="811">
        <f t="shared" si="27"/>
        <v>163</v>
      </c>
      <c r="X55" s="811">
        <f t="shared" si="27"/>
        <v>65</v>
      </c>
      <c r="Y55" s="812">
        <f t="shared" ref="Y55:Y57" si="28">E55-Z55</f>
        <v>25860557.600000024</v>
      </c>
      <c r="Z55" s="812">
        <f t="shared" si="27"/>
        <v>1029414860.4</v>
      </c>
      <c r="AA55" s="813">
        <f t="shared" si="24"/>
        <v>0.97549402065196211</v>
      </c>
      <c r="AB55" s="812">
        <f t="shared" si="25"/>
        <v>6315428.591411043</v>
      </c>
      <c r="AC55" s="815"/>
      <c r="AD55" s="811">
        <f t="shared" si="27"/>
        <v>163</v>
      </c>
      <c r="AE55" s="812">
        <f t="shared" si="27"/>
        <v>1314390185.4299998</v>
      </c>
      <c r="AF55" s="811">
        <f t="shared" si="27"/>
        <v>0</v>
      </c>
      <c r="AG55" s="810">
        <f t="shared" si="27"/>
        <v>1026684382.9299999</v>
      </c>
      <c r="AH55" s="811">
        <f t="shared" si="27"/>
        <v>69</v>
      </c>
      <c r="AI55" s="811">
        <f t="shared" si="27"/>
        <v>4</v>
      </c>
      <c r="AJ55" s="811"/>
      <c r="AK55" s="811"/>
      <c r="AL55" s="812">
        <f t="shared" si="27"/>
        <v>770170933.58999991</v>
      </c>
      <c r="AM55" s="810">
        <f t="shared" si="27"/>
        <v>686174918.8099997</v>
      </c>
      <c r="AN55" s="812">
        <f t="shared" si="27"/>
        <v>430904870.06</v>
      </c>
      <c r="AO55" s="812">
        <f t="shared" si="27"/>
        <v>366269136.57999998</v>
      </c>
    </row>
    <row r="56" spans="1:42" x14ac:dyDescent="0.3">
      <c r="A56" s="817"/>
      <c r="B56" s="818" t="s">
        <v>25</v>
      </c>
      <c r="C56" s="819"/>
      <c r="D56" s="809"/>
      <c r="E56" s="810">
        <f>SUM(E13,E14,E15,E16,E18,E19,E22,E23,E27,E28,E29,E30,E32,E33,E34,E35)</f>
        <v>3083915960</v>
      </c>
      <c r="F56" s="820">
        <f t="shared" ref="F56:AO56" si="29">SUM(F13,F14,F15,F16,F18,F19,F22,F23,F27,F28,F29,F30,F32,F33,F34,F35)</f>
        <v>3075</v>
      </c>
      <c r="G56" s="820">
        <f t="shared" si="29"/>
        <v>242</v>
      </c>
      <c r="H56" s="820">
        <f t="shared" si="29"/>
        <v>2557</v>
      </c>
      <c r="I56" s="820">
        <f t="shared" si="29"/>
        <v>432</v>
      </c>
      <c r="J56" s="820">
        <f t="shared" si="29"/>
        <v>185</v>
      </c>
      <c r="K56" s="820">
        <f t="shared" si="29"/>
        <v>0</v>
      </c>
      <c r="L56" s="820">
        <f t="shared" si="29"/>
        <v>6491</v>
      </c>
      <c r="M56" s="812">
        <f t="shared" si="29"/>
        <v>4695357929.4700003</v>
      </c>
      <c r="N56" s="812">
        <f t="shared" si="29"/>
        <v>9323016470.6900005</v>
      </c>
      <c r="O56" s="820">
        <f t="shared" si="29"/>
        <v>6491</v>
      </c>
      <c r="P56" s="820">
        <f t="shared" si="29"/>
        <v>0</v>
      </c>
      <c r="Q56" s="820">
        <f t="shared" si="29"/>
        <v>296</v>
      </c>
      <c r="R56" s="820">
        <f t="shared" si="29"/>
        <v>1293</v>
      </c>
      <c r="S56" s="820">
        <f t="shared" si="29"/>
        <v>557</v>
      </c>
      <c r="T56" s="820">
        <f t="shared" si="29"/>
        <v>1518</v>
      </c>
      <c r="U56" s="820">
        <f t="shared" si="29"/>
        <v>402</v>
      </c>
      <c r="V56" s="820">
        <f t="shared" si="29"/>
        <v>45</v>
      </c>
      <c r="W56" s="820">
        <f t="shared" si="29"/>
        <v>4111</v>
      </c>
      <c r="X56" s="820">
        <f t="shared" si="29"/>
        <v>2300</v>
      </c>
      <c r="Y56" s="812">
        <f t="shared" si="28"/>
        <v>308030569.02000046</v>
      </c>
      <c r="Z56" s="812">
        <f t="shared" si="29"/>
        <v>2775885390.9799995</v>
      </c>
      <c r="AA56" s="813">
        <f t="shared" si="24"/>
        <v>0.9001170677102367</v>
      </c>
      <c r="AB56" s="812">
        <f t="shared" si="25"/>
        <v>675233.61493067374</v>
      </c>
      <c r="AC56" s="812"/>
      <c r="AD56" s="820">
        <f t="shared" si="29"/>
        <v>4074</v>
      </c>
      <c r="AE56" s="812">
        <f t="shared" si="29"/>
        <v>7069400117.5600004</v>
      </c>
      <c r="AF56" s="820">
        <f t="shared" si="29"/>
        <v>12325.84</v>
      </c>
      <c r="AG56" s="810">
        <f t="shared" si="29"/>
        <v>2745178926.0813007</v>
      </c>
      <c r="AH56" s="820">
        <f t="shared" si="29"/>
        <v>2799</v>
      </c>
      <c r="AI56" s="820">
        <f t="shared" si="29"/>
        <v>197</v>
      </c>
      <c r="AJ56" s="820"/>
      <c r="AK56" s="820"/>
      <c r="AL56" s="812">
        <f t="shared" si="29"/>
        <v>4610518311.1499996</v>
      </c>
      <c r="AM56" s="810">
        <f t="shared" si="29"/>
        <v>2165998765.0299997</v>
      </c>
      <c r="AN56" s="812">
        <f t="shared" si="29"/>
        <v>3581214622.6700001</v>
      </c>
      <c r="AO56" s="812">
        <f t="shared" si="29"/>
        <v>3044032404.48</v>
      </c>
    </row>
    <row r="57" spans="1:42" x14ac:dyDescent="0.3">
      <c r="B57" s="808" t="s">
        <v>27</v>
      </c>
      <c r="C57" s="809"/>
      <c r="D57" s="809"/>
      <c r="E57" s="810">
        <f>SUM(E17,E21,E31,E37,E38,E41)</f>
        <v>1181765300</v>
      </c>
      <c r="F57" s="811">
        <f t="shared" ref="F57:AO57" si="30">SUM(F17,F21,F31,F37,F38,F41)</f>
        <v>216</v>
      </c>
      <c r="G57" s="811">
        <f t="shared" si="30"/>
        <v>66</v>
      </c>
      <c r="H57" s="811">
        <f t="shared" si="30"/>
        <v>34</v>
      </c>
      <c r="I57" s="811">
        <f t="shared" si="30"/>
        <v>650</v>
      </c>
      <c r="J57" s="811">
        <f t="shared" si="30"/>
        <v>188</v>
      </c>
      <c r="K57" s="811">
        <f t="shared" si="30"/>
        <v>43</v>
      </c>
      <c r="L57" s="811">
        <f t="shared" si="30"/>
        <v>1197</v>
      </c>
      <c r="M57" s="812">
        <f t="shared" si="30"/>
        <v>1757886784.98</v>
      </c>
      <c r="N57" s="812">
        <f t="shared" si="30"/>
        <v>3242399483.23</v>
      </c>
      <c r="O57" s="811">
        <f t="shared" si="30"/>
        <v>1184</v>
      </c>
      <c r="P57" s="811">
        <f t="shared" si="30"/>
        <v>13</v>
      </c>
      <c r="Q57" s="811">
        <f t="shared" si="30"/>
        <v>2</v>
      </c>
      <c r="R57" s="811">
        <f t="shared" si="30"/>
        <v>60</v>
      </c>
      <c r="S57" s="811">
        <f t="shared" si="30"/>
        <v>27</v>
      </c>
      <c r="T57" s="811">
        <f t="shared" si="30"/>
        <v>155</v>
      </c>
      <c r="U57" s="811">
        <f t="shared" si="30"/>
        <v>216</v>
      </c>
      <c r="V57" s="811">
        <f t="shared" si="30"/>
        <v>40</v>
      </c>
      <c r="W57" s="811">
        <f t="shared" si="30"/>
        <v>500</v>
      </c>
      <c r="X57" s="811">
        <f t="shared" si="30"/>
        <v>651</v>
      </c>
      <c r="Y57" s="812">
        <f t="shared" si="28"/>
        <v>468782417.27999997</v>
      </c>
      <c r="Z57" s="812">
        <f t="shared" si="30"/>
        <v>712982882.72000003</v>
      </c>
      <c r="AA57" s="813">
        <f t="shared" si="24"/>
        <v>0.60332020471408332</v>
      </c>
      <c r="AB57" s="812">
        <f t="shared" si="25"/>
        <v>1425965.76544</v>
      </c>
      <c r="AC57" s="815"/>
      <c r="AD57" s="811">
        <f t="shared" si="30"/>
        <v>492</v>
      </c>
      <c r="AE57" s="812">
        <f t="shared" si="30"/>
        <v>1413846926.53</v>
      </c>
      <c r="AF57" s="811">
        <f t="shared" si="30"/>
        <v>1289</v>
      </c>
      <c r="AG57" s="810">
        <f t="shared" si="30"/>
        <v>666419705.63</v>
      </c>
      <c r="AH57" s="811">
        <f t="shared" si="30"/>
        <v>205</v>
      </c>
      <c r="AI57" s="811">
        <f t="shared" si="30"/>
        <v>23</v>
      </c>
      <c r="AJ57" s="811"/>
      <c r="AK57" s="811"/>
      <c r="AL57" s="812">
        <f t="shared" si="30"/>
        <v>435973788.81</v>
      </c>
      <c r="AM57" s="810">
        <f t="shared" si="30"/>
        <v>305109761.58999997</v>
      </c>
      <c r="AN57" s="812">
        <f t="shared" si="30"/>
        <v>133149180.16999999</v>
      </c>
      <c r="AO57" s="812">
        <f t="shared" si="30"/>
        <v>113176802.16</v>
      </c>
    </row>
    <row r="58" spans="1:42" x14ac:dyDescent="0.3">
      <c r="E58" s="617" t="s">
        <v>1336</v>
      </c>
      <c r="AG58" s="617" t="s">
        <v>1347</v>
      </c>
      <c r="AM58" s="617" t="s">
        <v>1348</v>
      </c>
    </row>
    <row r="59" spans="1:42" x14ac:dyDescent="0.3">
      <c r="E59" s="821"/>
      <c r="F59" s="821"/>
      <c r="G59" s="821"/>
      <c r="H59" s="821"/>
      <c r="I59" s="821"/>
      <c r="J59" s="821"/>
      <c r="K59" s="821"/>
      <c r="L59" s="821"/>
      <c r="M59" s="821"/>
      <c r="N59" s="821"/>
      <c r="O59" s="821"/>
      <c r="P59" s="821"/>
      <c r="Q59" s="821"/>
      <c r="R59" s="821"/>
      <c r="S59" s="821"/>
      <c r="T59" s="821"/>
      <c r="U59" s="821"/>
      <c r="V59" s="821"/>
      <c r="W59" s="821"/>
      <c r="X59" s="821"/>
      <c r="Y59" s="821"/>
      <c r="Z59" s="821"/>
      <c r="AA59" s="821"/>
      <c r="AB59" s="821"/>
      <c r="AC59" s="821"/>
      <c r="AD59" s="821"/>
      <c r="AE59" s="821"/>
      <c r="AF59" s="821"/>
      <c r="AG59" s="821"/>
      <c r="AH59" s="821"/>
      <c r="AI59" s="821"/>
      <c r="AJ59" s="821"/>
      <c r="AK59" s="821"/>
      <c r="AL59" s="821"/>
      <c r="AM59" s="821"/>
      <c r="AN59" s="821"/>
      <c r="AO59" s="821"/>
    </row>
    <row r="65" spans="1:27" x14ac:dyDescent="0.3">
      <c r="AA65" s="822"/>
    </row>
    <row r="66" spans="1:27" x14ac:dyDescent="0.3">
      <c r="Y66"/>
      <c r="Z66"/>
      <c r="AA66"/>
    </row>
    <row r="67" spans="1:27" x14ac:dyDescent="0.3">
      <c r="Y67"/>
      <c r="Z67"/>
      <c r="AA67"/>
    </row>
    <row r="68" spans="1:27" x14ac:dyDescent="0.3">
      <c r="A68"/>
      <c r="B68"/>
      <c r="C68"/>
      <c r="D68"/>
      <c r="E68"/>
      <c r="Y68"/>
      <c r="Z68"/>
      <c r="AA68"/>
    </row>
    <row r="69" spans="1:27" x14ac:dyDescent="0.3">
      <c r="A69"/>
      <c r="B69"/>
      <c r="C69"/>
      <c r="D69"/>
      <c r="E69"/>
      <c r="F69" s="823"/>
      <c r="G69" s="824"/>
      <c r="H69" s="825"/>
      <c r="I69" s="824"/>
      <c r="J69" s="826"/>
      <c r="K69" s="827"/>
    </row>
    <row r="70" spans="1:27" x14ac:dyDescent="0.3">
      <c r="A70"/>
      <c r="B70"/>
      <c r="C70"/>
      <c r="D70"/>
      <c r="E70"/>
      <c r="F70" s="823"/>
      <c r="G70" s="824"/>
      <c r="H70" s="825"/>
      <c r="I70" s="824"/>
      <c r="J70" s="826"/>
      <c r="K70" s="827"/>
    </row>
    <row r="71" spans="1:27" x14ac:dyDescent="0.3">
      <c r="A71"/>
      <c r="B71"/>
      <c r="C71"/>
      <c r="D71"/>
      <c r="E71"/>
    </row>
    <row r="72" spans="1:27" x14ac:dyDescent="0.3">
      <c r="A72"/>
      <c r="B72"/>
      <c r="C72"/>
      <c r="D72"/>
      <c r="E72"/>
    </row>
    <row r="86" spans="18:18" x14ac:dyDescent="0.3">
      <c r="R86" s="822"/>
    </row>
    <row r="87" spans="18:18" x14ac:dyDescent="0.3">
      <c r="R87" s="828">
        <v>2864589.78</v>
      </c>
    </row>
  </sheetData>
  <sheetProtection algorithmName="SHA-512" hashValue="8i6peTpQSMFoyzRID7MjTO4VNvtpA4nnGd1+UFbxvUiiNx2LVzlSVrnwOMGSX5bYws4/WX/TOb/l++h068I9XQ==" saltValue="SisEsezMY93QXXON8hXn6Q==" spinCount="100000" sheet="1" formatCells="0" formatColumns="0" formatRows="0"/>
  <mergeCells count="11">
    <mergeCell ref="A45:D45"/>
    <mergeCell ref="A2:D2"/>
    <mergeCell ref="F2:AB2"/>
    <mergeCell ref="AD2:AG2"/>
    <mergeCell ref="AH2:AL2"/>
    <mergeCell ref="AM2:AO2"/>
    <mergeCell ref="A11:D11"/>
    <mergeCell ref="F11:AB11"/>
    <mergeCell ref="AD11:AG11"/>
    <mergeCell ref="AH11:AL11"/>
    <mergeCell ref="AM11:AO11"/>
  </mergeCells>
  <conditionalFormatting sqref="AA15:AA17 AA19:AA35">
    <cfRule type="dataBar" priority="51">
      <dataBar>
        <cfvo type="num" val="0"/>
        <cfvo type="num" val="1"/>
        <color rgb="FF63C384"/>
      </dataBar>
      <extLst>
        <ext xmlns:x14="http://schemas.microsoft.com/office/spreadsheetml/2009/9/main" uri="{B025F937-C7B1-47D3-B67F-A62EFF666E3E}">
          <x14:id>{D372196A-CEF1-44FA-B8E9-4F46935B7AF8}</x14:id>
        </ext>
      </extLst>
    </cfRule>
  </conditionalFormatting>
  <conditionalFormatting sqref="AA42">
    <cfRule type="dataBar" priority="50">
      <dataBar>
        <cfvo type="num" val="0"/>
        <cfvo type="num" val="1"/>
        <color rgb="FF63C384"/>
      </dataBar>
      <extLst>
        <ext xmlns:x14="http://schemas.microsoft.com/office/spreadsheetml/2009/9/main" uri="{B025F937-C7B1-47D3-B67F-A62EFF666E3E}">
          <x14:id>{98DEF969-4F02-42DF-B3B5-4B485247C0DE}</x14:id>
        </ext>
      </extLst>
    </cfRule>
  </conditionalFormatting>
  <conditionalFormatting sqref="AA43">
    <cfRule type="dataBar" priority="49">
      <dataBar>
        <cfvo type="num" val="0"/>
        <cfvo type="num" val="1"/>
        <color rgb="FF63C384"/>
      </dataBar>
      <extLst>
        <ext xmlns:x14="http://schemas.microsoft.com/office/spreadsheetml/2009/9/main" uri="{B025F937-C7B1-47D3-B67F-A62EFF666E3E}">
          <x14:id>{2017BCDF-593F-4C25-AE00-9667A9EC8AFD}</x14:id>
        </ext>
      </extLst>
    </cfRule>
  </conditionalFormatting>
  <conditionalFormatting sqref="AG16">
    <cfRule type="dataBar" priority="48">
      <dataBar>
        <cfvo type="num" val="0"/>
        <cfvo type="num" val="$Z$16"/>
        <color theme="9"/>
      </dataBar>
      <extLst>
        <ext xmlns:x14="http://schemas.microsoft.com/office/spreadsheetml/2009/9/main" uri="{B025F937-C7B1-47D3-B67F-A62EFF666E3E}">
          <x14:id>{EA7F86C2-0FA1-44A3-A8D8-37BE1FF92AC5}</x14:id>
        </ext>
      </extLst>
    </cfRule>
  </conditionalFormatting>
  <conditionalFormatting sqref="AG15">
    <cfRule type="dataBar" priority="47">
      <dataBar>
        <cfvo type="num" val="0"/>
        <cfvo type="num" val="$Z$15"/>
        <color theme="9"/>
      </dataBar>
      <extLst>
        <ext xmlns:x14="http://schemas.microsoft.com/office/spreadsheetml/2009/9/main" uri="{B025F937-C7B1-47D3-B67F-A62EFF666E3E}">
          <x14:id>{08C565F9-A31E-4246-955D-D6ABF52265E1}</x14:id>
        </ext>
      </extLst>
    </cfRule>
  </conditionalFormatting>
  <conditionalFormatting sqref="AG17">
    <cfRule type="dataBar" priority="46">
      <dataBar>
        <cfvo type="num" val="0"/>
        <cfvo type="num" val="$Z$17"/>
        <color theme="9"/>
      </dataBar>
      <extLst>
        <ext xmlns:x14="http://schemas.microsoft.com/office/spreadsheetml/2009/9/main" uri="{B025F937-C7B1-47D3-B67F-A62EFF666E3E}">
          <x14:id>{7105E107-6342-4E35-8EAD-6EDA5A96D2E7}</x14:id>
        </ext>
      </extLst>
    </cfRule>
  </conditionalFormatting>
  <conditionalFormatting sqref="AG18">
    <cfRule type="dataBar" priority="45">
      <dataBar>
        <cfvo type="num" val="0"/>
        <cfvo type="num" val="$Z$18"/>
        <color theme="9"/>
      </dataBar>
      <extLst>
        <ext xmlns:x14="http://schemas.microsoft.com/office/spreadsheetml/2009/9/main" uri="{B025F937-C7B1-47D3-B67F-A62EFF666E3E}">
          <x14:id>{1BB31217-0CBC-4190-B0E6-9CCD10A4E40D}</x14:id>
        </ext>
      </extLst>
    </cfRule>
  </conditionalFormatting>
  <conditionalFormatting sqref="AG19">
    <cfRule type="dataBar" priority="44">
      <dataBar>
        <cfvo type="num" val="0"/>
        <cfvo type="num" val="$Z$19"/>
        <color theme="9"/>
      </dataBar>
      <extLst>
        <ext xmlns:x14="http://schemas.microsoft.com/office/spreadsheetml/2009/9/main" uri="{B025F937-C7B1-47D3-B67F-A62EFF666E3E}">
          <x14:id>{0FC19B69-7CFF-4CB4-B4EC-DF0D75869DC1}</x14:id>
        </ext>
      </extLst>
    </cfRule>
  </conditionalFormatting>
  <conditionalFormatting sqref="AG20">
    <cfRule type="dataBar" priority="43">
      <dataBar>
        <cfvo type="num" val="0"/>
        <cfvo type="num" val="$Z$20"/>
        <color theme="9"/>
      </dataBar>
      <extLst>
        <ext xmlns:x14="http://schemas.microsoft.com/office/spreadsheetml/2009/9/main" uri="{B025F937-C7B1-47D3-B67F-A62EFF666E3E}">
          <x14:id>{E745805B-CE3E-41CB-823F-29F33D647564}</x14:id>
        </ext>
      </extLst>
    </cfRule>
  </conditionalFormatting>
  <conditionalFormatting sqref="AG21">
    <cfRule type="dataBar" priority="42">
      <dataBar>
        <cfvo type="num" val="0"/>
        <cfvo type="num" val="$Z$21"/>
        <color theme="9"/>
      </dataBar>
      <extLst>
        <ext xmlns:x14="http://schemas.microsoft.com/office/spreadsheetml/2009/9/main" uri="{B025F937-C7B1-47D3-B67F-A62EFF666E3E}">
          <x14:id>{C049ED96-104D-45A5-BD35-B4ED85391655}</x14:id>
        </ext>
      </extLst>
    </cfRule>
  </conditionalFormatting>
  <conditionalFormatting sqref="AG22">
    <cfRule type="dataBar" priority="41">
      <dataBar>
        <cfvo type="num" val="0"/>
        <cfvo type="num" val="$Z$22"/>
        <color theme="9"/>
      </dataBar>
      <extLst>
        <ext xmlns:x14="http://schemas.microsoft.com/office/spreadsheetml/2009/9/main" uri="{B025F937-C7B1-47D3-B67F-A62EFF666E3E}">
          <x14:id>{23C95A27-1E17-4EF9-93BE-85E0CE4EC27B}</x14:id>
        </ext>
      </extLst>
    </cfRule>
  </conditionalFormatting>
  <conditionalFormatting sqref="AG24">
    <cfRule type="dataBar" priority="40">
      <dataBar>
        <cfvo type="num" val="0"/>
        <cfvo type="num" val="$Z$24"/>
        <color theme="9"/>
      </dataBar>
      <extLst>
        <ext xmlns:x14="http://schemas.microsoft.com/office/spreadsheetml/2009/9/main" uri="{B025F937-C7B1-47D3-B67F-A62EFF666E3E}">
          <x14:id>{31D491EC-793E-4A9D-B5D8-8ACD9D80B64E}</x14:id>
        </ext>
      </extLst>
    </cfRule>
  </conditionalFormatting>
  <conditionalFormatting sqref="AG25">
    <cfRule type="dataBar" priority="39">
      <dataBar>
        <cfvo type="num" val="0"/>
        <cfvo type="num" val="$Z$25"/>
        <color theme="9"/>
      </dataBar>
      <extLst>
        <ext xmlns:x14="http://schemas.microsoft.com/office/spreadsheetml/2009/9/main" uri="{B025F937-C7B1-47D3-B67F-A62EFF666E3E}">
          <x14:id>{B478C272-EFA0-4EA8-BEB7-6BF5F31B311C}</x14:id>
        </ext>
      </extLst>
    </cfRule>
  </conditionalFormatting>
  <conditionalFormatting sqref="AG26">
    <cfRule type="dataBar" priority="38">
      <dataBar>
        <cfvo type="num" val="0"/>
        <cfvo type="num" val="$Z$26"/>
        <color theme="9"/>
      </dataBar>
      <extLst>
        <ext xmlns:x14="http://schemas.microsoft.com/office/spreadsheetml/2009/9/main" uri="{B025F937-C7B1-47D3-B67F-A62EFF666E3E}">
          <x14:id>{0E558550-FC6B-43B8-93F6-B03955CB2EA0}</x14:id>
        </ext>
      </extLst>
    </cfRule>
  </conditionalFormatting>
  <conditionalFormatting sqref="AG27">
    <cfRule type="dataBar" priority="9">
      <dataBar>
        <cfvo type="num" val="0"/>
        <cfvo type="num" val="$Z$27"/>
        <color theme="9"/>
      </dataBar>
      <extLst>
        <ext xmlns:x14="http://schemas.microsoft.com/office/spreadsheetml/2009/9/main" uri="{B025F937-C7B1-47D3-B67F-A62EFF666E3E}">
          <x14:id>{06D4F733-64A5-42E7-BAFE-7C2F4E17270E}</x14:id>
        </ext>
      </extLst>
    </cfRule>
  </conditionalFormatting>
  <conditionalFormatting sqref="AG42">
    <cfRule type="dataBar" priority="37">
      <dataBar>
        <cfvo type="num" val="0"/>
        <cfvo type="num" val="$Z$42"/>
        <color theme="9"/>
      </dataBar>
      <extLst>
        <ext xmlns:x14="http://schemas.microsoft.com/office/spreadsheetml/2009/9/main" uri="{B025F937-C7B1-47D3-B67F-A62EFF666E3E}">
          <x14:id>{391BA54E-85F9-4F80-9EB0-C0AA4C99A262}</x14:id>
        </ext>
      </extLst>
    </cfRule>
  </conditionalFormatting>
  <conditionalFormatting sqref="AG43">
    <cfRule type="dataBar" priority="36">
      <dataBar>
        <cfvo type="num" val="0"/>
        <cfvo type="num" val="$Z$43"/>
        <color theme="9"/>
      </dataBar>
      <extLst>
        <ext xmlns:x14="http://schemas.microsoft.com/office/spreadsheetml/2009/9/main" uri="{B025F937-C7B1-47D3-B67F-A62EFF666E3E}">
          <x14:id>{B8F0BF47-9351-43F4-A386-7ADC1F3CD821}</x14:id>
        </ext>
      </extLst>
    </cfRule>
  </conditionalFormatting>
  <conditionalFormatting sqref="AA9">
    <cfRule type="dataBar" priority="35">
      <dataBar>
        <cfvo type="num" val="0"/>
        <cfvo type="num" val="1"/>
        <color rgb="FF63C384"/>
      </dataBar>
      <extLst>
        <ext xmlns:x14="http://schemas.microsoft.com/office/spreadsheetml/2009/9/main" uri="{B025F937-C7B1-47D3-B67F-A62EFF666E3E}">
          <x14:id>{FF5EE29F-F66F-4D7F-AAEC-C8BE78F8EFE9}</x14:id>
        </ext>
      </extLst>
    </cfRule>
  </conditionalFormatting>
  <conditionalFormatting sqref="AG9">
    <cfRule type="dataBar" priority="34">
      <dataBar>
        <cfvo type="num" val="0"/>
        <cfvo type="num" val="$Z$9"/>
        <color theme="9"/>
      </dataBar>
      <extLst>
        <ext xmlns:x14="http://schemas.microsoft.com/office/spreadsheetml/2009/9/main" uri="{B025F937-C7B1-47D3-B67F-A62EFF666E3E}">
          <x14:id>{7051DF57-11F3-43EC-8843-C8F9E5DCFD38}</x14:id>
        </ext>
      </extLst>
    </cfRule>
  </conditionalFormatting>
  <conditionalFormatting sqref="AG14">
    <cfRule type="dataBar" priority="33">
      <dataBar>
        <cfvo type="num" val="0"/>
        <cfvo type="num" val="$Z$14"/>
        <color theme="9"/>
      </dataBar>
      <extLst>
        <ext xmlns:x14="http://schemas.microsoft.com/office/spreadsheetml/2009/9/main" uri="{B025F937-C7B1-47D3-B67F-A62EFF666E3E}">
          <x14:id>{AA39AEE3-EEB1-4F4E-9E16-9CD4D6FDF84E}</x14:id>
        </ext>
      </extLst>
    </cfRule>
  </conditionalFormatting>
  <conditionalFormatting sqref="AG13">
    <cfRule type="dataBar" priority="32">
      <dataBar>
        <cfvo type="num" val="0"/>
        <cfvo type="num" val="$Z$13"/>
        <color theme="9"/>
      </dataBar>
      <extLst>
        <ext xmlns:x14="http://schemas.microsoft.com/office/spreadsheetml/2009/9/main" uri="{B025F937-C7B1-47D3-B67F-A62EFF666E3E}">
          <x14:id>{DF3C5047-980F-4C16-B1C0-406529972C89}</x14:id>
        </ext>
      </extLst>
    </cfRule>
  </conditionalFormatting>
  <conditionalFormatting sqref="E42:L42">
    <cfRule type="dataBar" priority="31">
      <dataBar>
        <cfvo type="num" val="0"/>
        <cfvo type="num" val="$D$42"/>
        <color theme="9" tint="-0.249977111117893"/>
      </dataBar>
      <extLst>
        <ext xmlns:x14="http://schemas.microsoft.com/office/spreadsheetml/2009/9/main" uri="{B025F937-C7B1-47D3-B67F-A62EFF666E3E}">
          <x14:id>{15C53DC9-D0D7-4D24-A6E5-51F998B99699}</x14:id>
        </ext>
      </extLst>
    </cfRule>
  </conditionalFormatting>
  <conditionalFormatting sqref="E43">
    <cfRule type="dataBar" priority="30">
      <dataBar>
        <cfvo type="num" val="0"/>
        <cfvo type="num" val="$D$43"/>
        <color theme="9" tint="-0.249977111117893"/>
      </dataBar>
      <extLst>
        <ext xmlns:x14="http://schemas.microsoft.com/office/spreadsheetml/2009/9/main" uri="{B025F937-C7B1-47D3-B67F-A62EFF666E3E}">
          <x14:id>{CCDEA010-ED4C-44A5-9B44-B778B760FE52}</x14:id>
        </ext>
      </extLst>
    </cfRule>
  </conditionalFormatting>
  <conditionalFormatting sqref="E9">
    <cfRule type="dataBar" priority="29">
      <dataBar>
        <cfvo type="num" val="0"/>
        <cfvo type="num" val="$D$9"/>
        <color theme="9" tint="-0.249977111117893"/>
      </dataBar>
      <extLst>
        <ext xmlns:x14="http://schemas.microsoft.com/office/spreadsheetml/2009/9/main" uri="{B025F937-C7B1-47D3-B67F-A62EFF666E3E}">
          <x14:id>{0CB86392-1097-40B3-BF8C-59699C016459}</x14:id>
        </ext>
      </extLst>
    </cfRule>
  </conditionalFormatting>
  <conditionalFormatting sqref="O43">
    <cfRule type="dataBar" priority="28">
      <dataBar>
        <cfvo type="num" val="0"/>
        <cfvo type="num" val="$L$43"/>
        <color theme="5" tint="0.59999389629810485"/>
      </dataBar>
      <extLst>
        <ext xmlns:x14="http://schemas.microsoft.com/office/spreadsheetml/2009/9/main" uri="{B025F937-C7B1-47D3-B67F-A62EFF666E3E}">
          <x14:id>{FB1A5B65-56BC-4694-85B6-0F668E45C0C3}</x14:id>
        </ext>
      </extLst>
    </cfRule>
  </conditionalFormatting>
  <conditionalFormatting sqref="E50:F50">
    <cfRule type="dataBar" priority="27">
      <dataBar>
        <cfvo type="num" val="0"/>
        <cfvo type="num" val="$D$50"/>
        <color theme="9" tint="-0.249977111117893"/>
      </dataBar>
      <extLst>
        <ext xmlns:x14="http://schemas.microsoft.com/office/spreadsheetml/2009/9/main" uri="{B025F937-C7B1-47D3-B67F-A62EFF666E3E}">
          <x14:id>{1AAECEF5-0B56-4849-A623-0334D7BE8158}</x14:id>
        </ext>
      </extLst>
    </cfRule>
  </conditionalFormatting>
  <conditionalFormatting sqref="AA5">
    <cfRule type="dataBar" priority="26">
      <dataBar>
        <cfvo type="num" val="0"/>
        <cfvo type="num" val="1"/>
        <color rgb="FF63C384"/>
      </dataBar>
      <extLst>
        <ext xmlns:x14="http://schemas.microsoft.com/office/spreadsheetml/2009/9/main" uri="{B025F937-C7B1-47D3-B67F-A62EFF666E3E}">
          <x14:id>{64B5B2EA-D51C-4149-B1BF-248F9B5CD225}</x14:id>
        </ext>
      </extLst>
    </cfRule>
  </conditionalFormatting>
  <conditionalFormatting sqref="AA6:AA8">
    <cfRule type="dataBar" priority="25">
      <dataBar>
        <cfvo type="num" val="0"/>
        <cfvo type="num" val="1"/>
        <color rgb="FF63C384"/>
      </dataBar>
      <extLst>
        <ext xmlns:x14="http://schemas.microsoft.com/office/spreadsheetml/2009/9/main" uri="{B025F937-C7B1-47D3-B67F-A62EFF666E3E}">
          <x14:id>{D20727A1-4BC5-4A90-A98B-E9A3579B3D33}</x14:id>
        </ext>
      </extLst>
    </cfRule>
  </conditionalFormatting>
  <conditionalFormatting sqref="AG23">
    <cfRule type="dataBar" priority="24">
      <dataBar>
        <cfvo type="num" val="0"/>
        <cfvo type="num" val="$Z$23"/>
        <color theme="9"/>
      </dataBar>
      <extLst>
        <ext xmlns:x14="http://schemas.microsoft.com/office/spreadsheetml/2009/9/main" uri="{B025F937-C7B1-47D3-B67F-A62EFF666E3E}">
          <x14:id>{41C36EDA-D9AF-421C-951B-DD6C6E48D4F8}</x14:id>
        </ext>
      </extLst>
    </cfRule>
  </conditionalFormatting>
  <conditionalFormatting sqref="AG5">
    <cfRule type="dataBar" priority="23">
      <dataBar>
        <cfvo type="num" val="0"/>
        <cfvo type="num" val="$Z$5"/>
        <color theme="9"/>
      </dataBar>
      <extLst>
        <ext xmlns:x14="http://schemas.microsoft.com/office/spreadsheetml/2009/9/main" uri="{B025F937-C7B1-47D3-B67F-A62EFF666E3E}">
          <x14:id>{70338903-C1E7-4BD0-BBF8-09D6B280308E}</x14:id>
        </ext>
      </extLst>
    </cfRule>
  </conditionalFormatting>
  <conditionalFormatting sqref="AG4">
    <cfRule type="dataBar" priority="22">
      <dataBar>
        <cfvo type="num" val="0"/>
        <cfvo type="num" val="$Z$4"/>
        <color theme="9"/>
      </dataBar>
      <extLst>
        <ext xmlns:x14="http://schemas.microsoft.com/office/spreadsheetml/2009/9/main" uri="{B025F937-C7B1-47D3-B67F-A62EFF666E3E}">
          <x14:id>{31940955-74AE-408C-ACE6-A68C70157686}</x14:id>
        </ext>
      </extLst>
    </cfRule>
  </conditionalFormatting>
  <conditionalFormatting sqref="AG31">
    <cfRule type="dataBar" priority="21">
      <dataBar>
        <cfvo type="num" val="0"/>
        <cfvo type="num" val="$Z$31"/>
        <color theme="9"/>
      </dataBar>
      <extLst>
        <ext xmlns:x14="http://schemas.microsoft.com/office/spreadsheetml/2009/9/main" uri="{B025F937-C7B1-47D3-B67F-A62EFF666E3E}">
          <x14:id>{91A75B27-0680-4189-9013-898B1A037E26}</x14:id>
        </ext>
      </extLst>
    </cfRule>
  </conditionalFormatting>
  <conditionalFormatting sqref="AG32">
    <cfRule type="dataBar" priority="20">
      <dataBar>
        <cfvo type="num" val="0"/>
        <cfvo type="num" val="$Z$32"/>
        <color theme="9"/>
      </dataBar>
      <extLst>
        <ext xmlns:x14="http://schemas.microsoft.com/office/spreadsheetml/2009/9/main" uri="{B025F937-C7B1-47D3-B67F-A62EFF666E3E}">
          <x14:id>{E9F3E8B3-5685-45FC-A50E-4A012832E3FF}</x14:id>
        </ext>
      </extLst>
    </cfRule>
  </conditionalFormatting>
  <conditionalFormatting sqref="AG30">
    <cfRule type="dataBar" priority="19">
      <dataBar>
        <cfvo type="num" val="0"/>
        <cfvo type="num" val="$Z$30"/>
        <color theme="9"/>
      </dataBar>
      <extLst>
        <ext xmlns:x14="http://schemas.microsoft.com/office/spreadsheetml/2009/9/main" uri="{B025F937-C7B1-47D3-B67F-A62EFF666E3E}">
          <x14:id>{EC6C196D-E694-4FA5-BB2A-CB338CCB5EE4}</x14:id>
        </ext>
      </extLst>
    </cfRule>
  </conditionalFormatting>
  <conditionalFormatting sqref="AG38">
    <cfRule type="dataBar" priority="17">
      <dataBar>
        <cfvo type="num" val="0"/>
        <cfvo type="num" val="$Z$38"/>
        <color theme="9"/>
      </dataBar>
      <extLst>
        <ext xmlns:x14="http://schemas.microsoft.com/office/spreadsheetml/2009/9/main" uri="{B025F937-C7B1-47D3-B67F-A62EFF666E3E}">
          <x14:id>{633C1774-3F72-400E-8DB8-870C73A45B61}</x14:id>
        </ext>
      </extLst>
    </cfRule>
  </conditionalFormatting>
  <conditionalFormatting sqref="AA38">
    <cfRule type="dataBar" priority="18">
      <dataBar>
        <cfvo type="num" val="0"/>
        <cfvo type="num" val="1"/>
        <color rgb="FF63C384"/>
      </dataBar>
      <extLst>
        <ext xmlns:x14="http://schemas.microsoft.com/office/spreadsheetml/2009/9/main" uri="{B025F937-C7B1-47D3-B67F-A62EFF666E3E}">
          <x14:id>{E98F759D-99A2-4999-B5AD-E087084D7CCB}</x14:id>
        </ext>
      </extLst>
    </cfRule>
  </conditionalFormatting>
  <conditionalFormatting sqref="AG34">
    <cfRule type="dataBar" priority="16">
      <dataBar>
        <cfvo type="num" val="0"/>
        <cfvo type="num" val="$Z$34"/>
        <color theme="9"/>
      </dataBar>
      <extLst>
        <ext xmlns:x14="http://schemas.microsoft.com/office/spreadsheetml/2009/9/main" uri="{B025F937-C7B1-47D3-B67F-A62EFF666E3E}">
          <x14:id>{B8BDB362-612A-43F4-ABD9-DB915DDBBB4F}</x14:id>
        </ext>
      </extLst>
    </cfRule>
  </conditionalFormatting>
  <conditionalFormatting sqref="AA36">
    <cfRule type="dataBar" priority="15">
      <dataBar>
        <cfvo type="num" val="0"/>
        <cfvo type="num" val="1"/>
        <color rgb="FF63C384"/>
      </dataBar>
      <extLst>
        <ext xmlns:x14="http://schemas.microsoft.com/office/spreadsheetml/2009/9/main" uri="{B025F937-C7B1-47D3-B67F-A62EFF666E3E}">
          <x14:id>{195A736E-E18F-4AA9-8285-B3530102A1CC}</x14:id>
        </ext>
      </extLst>
    </cfRule>
  </conditionalFormatting>
  <conditionalFormatting sqref="AG36">
    <cfRule type="dataBar" priority="14">
      <dataBar>
        <cfvo type="num" val="0"/>
        <cfvo type="num" val="$Z$36"/>
        <color theme="9"/>
      </dataBar>
      <extLst>
        <ext xmlns:x14="http://schemas.microsoft.com/office/spreadsheetml/2009/9/main" uri="{B025F937-C7B1-47D3-B67F-A62EFF666E3E}">
          <x14:id>{B8F3C518-242F-4F84-96A5-49688E7713E4}</x14:id>
        </ext>
      </extLst>
    </cfRule>
  </conditionalFormatting>
  <conditionalFormatting sqref="AG35">
    <cfRule type="dataBar" priority="13">
      <dataBar>
        <cfvo type="num" val="0"/>
        <cfvo type="num" val="$Z$35"/>
        <color theme="9"/>
      </dataBar>
      <extLst>
        <ext xmlns:x14="http://schemas.microsoft.com/office/spreadsheetml/2009/9/main" uri="{B025F937-C7B1-47D3-B67F-A62EFF666E3E}">
          <x14:id>{58D3BD26-C95A-4F64-9A16-B57408424B82}</x14:id>
        </ext>
      </extLst>
    </cfRule>
  </conditionalFormatting>
  <conditionalFormatting sqref="AG33">
    <cfRule type="dataBar" priority="12">
      <dataBar>
        <cfvo type="num" val="0"/>
        <cfvo type="num" val="$Z$33"/>
        <color theme="9"/>
      </dataBar>
      <extLst>
        <ext xmlns:x14="http://schemas.microsoft.com/office/spreadsheetml/2009/9/main" uri="{B025F937-C7B1-47D3-B67F-A62EFF666E3E}">
          <x14:id>{C6E935D8-54CD-4733-969C-1CDB0005C3C3}</x14:id>
        </ext>
      </extLst>
    </cfRule>
  </conditionalFormatting>
  <conditionalFormatting sqref="AG28">
    <cfRule type="dataBar" priority="8">
      <dataBar>
        <cfvo type="num" val="0"/>
        <cfvo type="num" val="$Z$28"/>
        <color theme="9"/>
      </dataBar>
      <extLst>
        <ext xmlns:x14="http://schemas.microsoft.com/office/spreadsheetml/2009/9/main" uri="{B025F937-C7B1-47D3-B67F-A62EFF666E3E}">
          <x14:id>{D441370C-E952-4342-990E-B62A99791F42}</x14:id>
        </ext>
      </extLst>
    </cfRule>
  </conditionalFormatting>
  <conditionalFormatting sqref="AG37">
    <cfRule type="dataBar" priority="10">
      <dataBar>
        <cfvo type="num" val="0"/>
        <cfvo type="num" val="$Z$37"/>
        <color theme="9"/>
      </dataBar>
      <extLst>
        <ext xmlns:x14="http://schemas.microsoft.com/office/spreadsheetml/2009/9/main" uri="{B025F937-C7B1-47D3-B67F-A62EFF666E3E}">
          <x14:id>{127870AE-C1DC-4BC9-93E4-D6F61A62B462}</x14:id>
        </ext>
      </extLst>
    </cfRule>
  </conditionalFormatting>
  <conditionalFormatting sqref="AA37">
    <cfRule type="dataBar" priority="11">
      <dataBar>
        <cfvo type="num" val="0"/>
        <cfvo type="num" val="1"/>
        <color rgb="FF63C384"/>
      </dataBar>
      <extLst>
        <ext xmlns:x14="http://schemas.microsoft.com/office/spreadsheetml/2009/9/main" uri="{B025F937-C7B1-47D3-B67F-A62EFF666E3E}">
          <x14:id>{8D3BCFF3-DC15-442E-AF53-75FF5055BD95}</x14:id>
        </ext>
      </extLst>
    </cfRule>
  </conditionalFormatting>
  <conditionalFormatting sqref="AG39 AG41">
    <cfRule type="dataBar" priority="7">
      <dataBar>
        <cfvo type="num" val="0"/>
        <cfvo type="num" val="$Z$8"/>
        <color theme="9"/>
      </dataBar>
      <extLst>
        <ext xmlns:x14="http://schemas.microsoft.com/office/spreadsheetml/2009/9/main" uri="{B025F937-C7B1-47D3-B67F-A62EFF666E3E}">
          <x14:id>{6C16823A-1C27-4D0F-B136-6DEFF2205119}</x14:id>
        </ext>
      </extLst>
    </cfRule>
  </conditionalFormatting>
  <conditionalFormatting sqref="AG6">
    <cfRule type="dataBar" priority="52">
      <dataBar>
        <cfvo type="num" val="0"/>
        <cfvo type="num" val="$Z$6"/>
        <color theme="9"/>
      </dataBar>
      <extLst>
        <ext xmlns:x14="http://schemas.microsoft.com/office/spreadsheetml/2009/9/main" uri="{B025F937-C7B1-47D3-B67F-A62EFF666E3E}">
          <x14:id>{4F258252-C828-45C7-927A-7C322F690582}</x14:id>
        </ext>
      </extLst>
    </cfRule>
  </conditionalFormatting>
  <conditionalFormatting sqref="AG7">
    <cfRule type="dataBar" priority="6">
      <dataBar>
        <cfvo type="num" val="0"/>
        <cfvo type="num" val="$Z$7"/>
        <color theme="9"/>
      </dataBar>
      <extLst>
        <ext xmlns:x14="http://schemas.microsoft.com/office/spreadsheetml/2009/9/main" uri="{B025F937-C7B1-47D3-B67F-A62EFF666E3E}">
          <x14:id>{7B91FE59-E133-4053-862C-7A8AFDFD83FF}</x14:id>
        </ext>
      </extLst>
    </cfRule>
  </conditionalFormatting>
  <conditionalFormatting sqref="AA39 AA41">
    <cfRule type="dataBar" priority="5">
      <dataBar>
        <cfvo type="num" val="0"/>
        <cfvo type="num" val="1"/>
        <color rgb="FF63C384"/>
      </dataBar>
      <extLst>
        <ext xmlns:x14="http://schemas.microsoft.com/office/spreadsheetml/2009/9/main" uri="{B025F937-C7B1-47D3-B67F-A62EFF666E3E}">
          <x14:id>{0245A7B0-1193-44E6-B74C-E67D9E705EC1}</x14:id>
        </ext>
      </extLst>
    </cfRule>
  </conditionalFormatting>
  <conditionalFormatting sqref="AG40">
    <cfRule type="dataBar" priority="4">
      <dataBar>
        <cfvo type="num" val="0"/>
        <cfvo type="num" val="$Z$8"/>
        <color theme="9"/>
      </dataBar>
      <extLst>
        <ext xmlns:x14="http://schemas.microsoft.com/office/spreadsheetml/2009/9/main" uri="{B025F937-C7B1-47D3-B67F-A62EFF666E3E}">
          <x14:id>{906ED84A-A235-47BA-9636-A1686A192FCE}</x14:id>
        </ext>
      </extLst>
    </cfRule>
  </conditionalFormatting>
  <conditionalFormatting sqref="AA40">
    <cfRule type="dataBar" priority="3">
      <dataBar>
        <cfvo type="num" val="0"/>
        <cfvo type="num" val="1"/>
        <color rgb="FF63C384"/>
      </dataBar>
      <extLst>
        <ext xmlns:x14="http://schemas.microsoft.com/office/spreadsheetml/2009/9/main" uri="{B025F937-C7B1-47D3-B67F-A62EFF666E3E}">
          <x14:id>{500A610C-7A1B-4601-A1A4-6E07A73619F8}</x14:id>
        </ext>
      </extLst>
    </cfRule>
  </conditionalFormatting>
  <conditionalFormatting sqref="AG29">
    <cfRule type="dataBar" priority="2">
      <dataBar>
        <cfvo type="num" val="0"/>
        <cfvo type="num" val="$Z$29"/>
        <color theme="9"/>
      </dataBar>
      <extLst>
        <ext xmlns:x14="http://schemas.microsoft.com/office/spreadsheetml/2009/9/main" uri="{B025F937-C7B1-47D3-B67F-A62EFF666E3E}">
          <x14:id>{20113F3B-17A4-499F-8A15-D3C30BFB6AFF}</x14:id>
        </ext>
      </extLst>
    </cfRule>
  </conditionalFormatting>
  <conditionalFormatting sqref="AG8">
    <cfRule type="dataBar" priority="1">
      <dataBar>
        <cfvo type="num" val="0"/>
        <cfvo type="num" val="$Z$7"/>
        <color theme="9"/>
      </dataBar>
      <extLst>
        <ext xmlns:x14="http://schemas.microsoft.com/office/spreadsheetml/2009/9/main" uri="{B025F937-C7B1-47D3-B67F-A62EFF666E3E}">
          <x14:id>{7B20D8CF-0E04-4F1E-8DC7-7E0CB1931CC0}</x14:id>
        </ext>
      </extLst>
    </cfRule>
  </conditionalFormatting>
  <printOptions horizontalCentered="1"/>
  <pageMargins left="0.19685039370078741" right="0.19685039370078741" top="0.39370078740157483" bottom="0.39370078740157483" header="0" footer="0"/>
  <pageSetup paperSize="8" scale="23" orientation="landscape" r:id="rId1"/>
  <legacyDrawing r:id="rId2"/>
  <extLst>
    <ext xmlns:x14="http://schemas.microsoft.com/office/spreadsheetml/2009/9/main" uri="{78C0D931-6437-407d-A8EE-F0AAD7539E65}">
      <x14:conditionalFormattings>
        <x14:conditionalFormatting xmlns:xm="http://schemas.microsoft.com/office/excel/2006/main">
          <x14:cfRule type="dataBar" id="{D372196A-CEF1-44FA-B8E9-4F46935B7AF8}">
            <x14:dataBar minLength="0" maxLength="100" border="1" negativeBarBorderColorSameAsPositive="0">
              <x14:cfvo type="num">
                <xm:f>0</xm:f>
              </x14:cfvo>
              <x14:cfvo type="num">
                <xm:f>1</xm:f>
              </x14:cfvo>
              <x14:borderColor rgb="FF63C384"/>
              <x14:negativeFillColor rgb="FFFF0000"/>
              <x14:negativeBorderColor rgb="FFFF0000"/>
              <x14:axisColor rgb="FF000000"/>
            </x14:dataBar>
          </x14:cfRule>
          <xm:sqref>AA15:AA17 AA19:AA35</xm:sqref>
        </x14:conditionalFormatting>
        <x14:conditionalFormatting xmlns:xm="http://schemas.microsoft.com/office/excel/2006/main">
          <x14:cfRule type="dataBar" id="{98DEF969-4F02-42DF-B3B5-4B485247C0DE}">
            <x14:dataBar minLength="0" maxLength="100" border="1" negativeBarBorderColorSameAsPositive="0">
              <x14:cfvo type="num">
                <xm:f>0</xm:f>
              </x14:cfvo>
              <x14:cfvo type="num">
                <xm:f>1</xm:f>
              </x14:cfvo>
              <x14:borderColor rgb="FF63C384"/>
              <x14:negativeFillColor rgb="FFFF0000"/>
              <x14:negativeBorderColor rgb="FFFF0000"/>
              <x14:axisColor rgb="FF000000"/>
            </x14:dataBar>
          </x14:cfRule>
          <xm:sqref>AA42</xm:sqref>
        </x14:conditionalFormatting>
        <x14:conditionalFormatting xmlns:xm="http://schemas.microsoft.com/office/excel/2006/main">
          <x14:cfRule type="dataBar" id="{2017BCDF-593F-4C25-AE00-9667A9EC8AFD}">
            <x14:dataBar minLength="0" maxLength="100" border="1" negativeBarBorderColorSameAsPositive="0">
              <x14:cfvo type="num">
                <xm:f>0</xm:f>
              </x14:cfvo>
              <x14:cfvo type="num">
                <xm:f>1</xm:f>
              </x14:cfvo>
              <x14:borderColor rgb="FF63C384"/>
              <x14:negativeFillColor rgb="FFFF0000"/>
              <x14:negativeBorderColor rgb="FFFF0000"/>
              <x14:axisColor rgb="FF000000"/>
            </x14:dataBar>
          </x14:cfRule>
          <xm:sqref>AA43</xm:sqref>
        </x14:conditionalFormatting>
        <x14:conditionalFormatting xmlns:xm="http://schemas.microsoft.com/office/excel/2006/main">
          <x14:cfRule type="dataBar" id="{EA7F86C2-0FA1-44A3-A8D8-37BE1FF92AC5}">
            <x14:dataBar minLength="0" maxLength="100" border="1">
              <x14:cfvo type="num">
                <xm:f>0</xm:f>
              </x14:cfvo>
              <x14:cfvo type="num">
                <xm:f>$Z$16</xm:f>
              </x14:cfvo>
              <x14:borderColor theme="9"/>
              <x14:negativeFillColor rgb="FFFF0000"/>
              <x14:axisColor rgb="FF000000"/>
            </x14:dataBar>
          </x14:cfRule>
          <xm:sqref>AG16</xm:sqref>
        </x14:conditionalFormatting>
        <x14:conditionalFormatting xmlns:xm="http://schemas.microsoft.com/office/excel/2006/main">
          <x14:cfRule type="dataBar" id="{08C565F9-A31E-4246-955D-D6ABF52265E1}">
            <x14:dataBar minLength="0" maxLength="100" border="1">
              <x14:cfvo type="num">
                <xm:f>0</xm:f>
              </x14:cfvo>
              <x14:cfvo type="num">
                <xm:f>$Z$15</xm:f>
              </x14:cfvo>
              <x14:borderColor theme="9"/>
              <x14:negativeFillColor rgb="FFFF0000"/>
              <x14:axisColor rgb="FF000000"/>
            </x14:dataBar>
          </x14:cfRule>
          <xm:sqref>AG15</xm:sqref>
        </x14:conditionalFormatting>
        <x14:conditionalFormatting xmlns:xm="http://schemas.microsoft.com/office/excel/2006/main">
          <x14:cfRule type="dataBar" id="{7105E107-6342-4E35-8EAD-6EDA5A96D2E7}">
            <x14:dataBar minLength="0" maxLength="100" border="1">
              <x14:cfvo type="num">
                <xm:f>0</xm:f>
              </x14:cfvo>
              <x14:cfvo type="num">
                <xm:f>$Z$17</xm:f>
              </x14:cfvo>
              <x14:borderColor theme="9"/>
              <x14:negativeFillColor rgb="FFFF0000"/>
              <x14:axisColor rgb="FF000000"/>
            </x14:dataBar>
          </x14:cfRule>
          <xm:sqref>AG17</xm:sqref>
        </x14:conditionalFormatting>
        <x14:conditionalFormatting xmlns:xm="http://schemas.microsoft.com/office/excel/2006/main">
          <x14:cfRule type="dataBar" id="{1BB31217-0CBC-4190-B0E6-9CCD10A4E40D}">
            <x14:dataBar minLength="0" maxLength="100" border="1">
              <x14:cfvo type="num">
                <xm:f>0</xm:f>
              </x14:cfvo>
              <x14:cfvo type="num">
                <xm:f>$Z$18</xm:f>
              </x14:cfvo>
              <x14:borderColor theme="9"/>
              <x14:negativeFillColor rgb="FFFF0000"/>
              <x14:axisColor rgb="FF000000"/>
            </x14:dataBar>
          </x14:cfRule>
          <xm:sqref>AG18</xm:sqref>
        </x14:conditionalFormatting>
        <x14:conditionalFormatting xmlns:xm="http://schemas.microsoft.com/office/excel/2006/main">
          <x14:cfRule type="dataBar" id="{0FC19B69-7CFF-4CB4-B4EC-DF0D75869DC1}">
            <x14:dataBar minLength="0" maxLength="100" border="1">
              <x14:cfvo type="num">
                <xm:f>0</xm:f>
              </x14:cfvo>
              <x14:cfvo type="num">
                <xm:f>$Z$19</xm:f>
              </x14:cfvo>
              <x14:borderColor theme="9"/>
              <x14:negativeFillColor rgb="FFFF0000"/>
              <x14:axisColor rgb="FF000000"/>
            </x14:dataBar>
          </x14:cfRule>
          <xm:sqref>AG19</xm:sqref>
        </x14:conditionalFormatting>
        <x14:conditionalFormatting xmlns:xm="http://schemas.microsoft.com/office/excel/2006/main">
          <x14:cfRule type="dataBar" id="{E745805B-CE3E-41CB-823F-29F33D647564}">
            <x14:dataBar minLength="0" maxLength="100" border="1">
              <x14:cfvo type="num">
                <xm:f>0</xm:f>
              </x14:cfvo>
              <x14:cfvo type="num">
                <xm:f>$Z$20</xm:f>
              </x14:cfvo>
              <x14:borderColor theme="9"/>
              <x14:negativeFillColor rgb="FFFF0000"/>
              <x14:axisColor rgb="FF000000"/>
            </x14:dataBar>
          </x14:cfRule>
          <xm:sqref>AG20</xm:sqref>
        </x14:conditionalFormatting>
        <x14:conditionalFormatting xmlns:xm="http://schemas.microsoft.com/office/excel/2006/main">
          <x14:cfRule type="dataBar" id="{C049ED96-104D-45A5-BD35-B4ED85391655}">
            <x14:dataBar minLength="0" maxLength="100" border="1">
              <x14:cfvo type="num">
                <xm:f>0</xm:f>
              </x14:cfvo>
              <x14:cfvo type="num">
                <xm:f>$Z$21</xm:f>
              </x14:cfvo>
              <x14:borderColor theme="9"/>
              <x14:negativeFillColor rgb="FFFF0000"/>
              <x14:axisColor rgb="FF000000"/>
            </x14:dataBar>
          </x14:cfRule>
          <xm:sqref>AG21</xm:sqref>
        </x14:conditionalFormatting>
        <x14:conditionalFormatting xmlns:xm="http://schemas.microsoft.com/office/excel/2006/main">
          <x14:cfRule type="dataBar" id="{23C95A27-1E17-4EF9-93BE-85E0CE4EC27B}">
            <x14:dataBar minLength="0" maxLength="100" border="1">
              <x14:cfvo type="num">
                <xm:f>0</xm:f>
              </x14:cfvo>
              <x14:cfvo type="num">
                <xm:f>$Z$22</xm:f>
              </x14:cfvo>
              <x14:borderColor theme="9"/>
              <x14:negativeFillColor rgb="FFFF0000"/>
              <x14:axisColor rgb="FF000000"/>
            </x14:dataBar>
          </x14:cfRule>
          <xm:sqref>AG22</xm:sqref>
        </x14:conditionalFormatting>
        <x14:conditionalFormatting xmlns:xm="http://schemas.microsoft.com/office/excel/2006/main">
          <x14:cfRule type="dataBar" id="{31D491EC-793E-4A9D-B5D8-8ACD9D80B64E}">
            <x14:dataBar minLength="0" maxLength="100" border="1">
              <x14:cfvo type="num">
                <xm:f>0</xm:f>
              </x14:cfvo>
              <x14:cfvo type="num">
                <xm:f>$Z$24</xm:f>
              </x14:cfvo>
              <x14:borderColor theme="9"/>
              <x14:negativeFillColor rgb="FFFF0000"/>
              <x14:axisColor rgb="FF000000"/>
            </x14:dataBar>
          </x14:cfRule>
          <xm:sqref>AG24</xm:sqref>
        </x14:conditionalFormatting>
        <x14:conditionalFormatting xmlns:xm="http://schemas.microsoft.com/office/excel/2006/main">
          <x14:cfRule type="dataBar" id="{B478C272-EFA0-4EA8-BEB7-6BF5F31B311C}">
            <x14:dataBar minLength="0" maxLength="100" border="1">
              <x14:cfvo type="num">
                <xm:f>0</xm:f>
              </x14:cfvo>
              <x14:cfvo type="num">
                <xm:f>$Z$25</xm:f>
              </x14:cfvo>
              <x14:borderColor theme="9"/>
              <x14:negativeFillColor rgb="FFFF0000"/>
              <x14:axisColor rgb="FF000000"/>
            </x14:dataBar>
          </x14:cfRule>
          <xm:sqref>AG25</xm:sqref>
        </x14:conditionalFormatting>
        <x14:conditionalFormatting xmlns:xm="http://schemas.microsoft.com/office/excel/2006/main">
          <x14:cfRule type="dataBar" id="{0E558550-FC6B-43B8-93F6-B03955CB2EA0}">
            <x14:dataBar minLength="0" maxLength="100" border="1">
              <x14:cfvo type="num">
                <xm:f>0</xm:f>
              </x14:cfvo>
              <x14:cfvo type="num">
                <xm:f>$Z$26</xm:f>
              </x14:cfvo>
              <x14:borderColor theme="9"/>
              <x14:negativeFillColor rgb="FFFF0000"/>
              <x14:axisColor rgb="FF000000"/>
            </x14:dataBar>
          </x14:cfRule>
          <xm:sqref>AG26</xm:sqref>
        </x14:conditionalFormatting>
        <x14:conditionalFormatting xmlns:xm="http://schemas.microsoft.com/office/excel/2006/main">
          <x14:cfRule type="dataBar" id="{06D4F733-64A5-42E7-BAFE-7C2F4E17270E}">
            <x14:dataBar minLength="0" maxLength="100" border="1" negativeBarBorderColorSameAsPositive="0">
              <x14:cfvo type="num">
                <xm:f>0</xm:f>
              </x14:cfvo>
              <x14:cfvo type="num">
                <xm:f>$Z$27</xm:f>
              </x14:cfvo>
              <x14:borderColor theme="9"/>
              <x14:negativeFillColor rgb="FFFF0000"/>
              <x14:negativeBorderColor rgb="FFFF0000"/>
              <x14:axisColor rgb="FF000000"/>
            </x14:dataBar>
          </x14:cfRule>
          <xm:sqref>AG27</xm:sqref>
        </x14:conditionalFormatting>
        <x14:conditionalFormatting xmlns:xm="http://schemas.microsoft.com/office/excel/2006/main">
          <x14:cfRule type="dataBar" id="{391BA54E-85F9-4F80-9EB0-C0AA4C99A262}">
            <x14:dataBar minLength="0" maxLength="100" border="1">
              <x14:cfvo type="num">
                <xm:f>0</xm:f>
              </x14:cfvo>
              <x14:cfvo type="num">
                <xm:f>$Z$42</xm:f>
              </x14:cfvo>
              <x14:borderColor theme="9"/>
              <x14:negativeFillColor rgb="FFFF0000"/>
              <x14:axisColor rgb="FF000000"/>
            </x14:dataBar>
          </x14:cfRule>
          <xm:sqref>AG42</xm:sqref>
        </x14:conditionalFormatting>
        <x14:conditionalFormatting xmlns:xm="http://schemas.microsoft.com/office/excel/2006/main">
          <x14:cfRule type="dataBar" id="{B8F0BF47-9351-43F4-A386-7ADC1F3CD821}">
            <x14:dataBar minLength="0" maxLength="100" border="1">
              <x14:cfvo type="num">
                <xm:f>0</xm:f>
              </x14:cfvo>
              <x14:cfvo type="num">
                <xm:f>$Z$43</xm:f>
              </x14:cfvo>
              <x14:borderColor theme="9"/>
              <x14:negativeFillColor rgb="FFFF0000"/>
              <x14:axisColor rgb="FF000000"/>
            </x14:dataBar>
          </x14:cfRule>
          <xm:sqref>AG43</xm:sqref>
        </x14:conditionalFormatting>
        <x14:conditionalFormatting xmlns:xm="http://schemas.microsoft.com/office/excel/2006/main">
          <x14:cfRule type="dataBar" id="{FF5EE29F-F66F-4D7F-AAEC-C8BE78F8EFE9}">
            <x14:dataBar minLength="0" maxLength="100" border="1" negativeBarBorderColorSameAsPositive="0">
              <x14:cfvo type="num">
                <xm:f>0</xm:f>
              </x14:cfvo>
              <x14:cfvo type="num">
                <xm:f>1</xm:f>
              </x14:cfvo>
              <x14:borderColor rgb="FF63C384"/>
              <x14:negativeFillColor rgb="FFFF0000"/>
              <x14:negativeBorderColor rgb="FFFF0000"/>
              <x14:axisColor rgb="FF000000"/>
            </x14:dataBar>
          </x14:cfRule>
          <xm:sqref>AA9</xm:sqref>
        </x14:conditionalFormatting>
        <x14:conditionalFormatting xmlns:xm="http://schemas.microsoft.com/office/excel/2006/main">
          <x14:cfRule type="dataBar" id="{7051DF57-11F3-43EC-8843-C8F9E5DCFD38}">
            <x14:dataBar minLength="0" maxLength="100" border="1">
              <x14:cfvo type="num">
                <xm:f>0</xm:f>
              </x14:cfvo>
              <x14:cfvo type="num">
                <xm:f>$Z$9</xm:f>
              </x14:cfvo>
              <x14:borderColor theme="9"/>
              <x14:negativeFillColor rgb="FFFF0000"/>
              <x14:axisColor rgb="FF000000"/>
            </x14:dataBar>
          </x14:cfRule>
          <xm:sqref>AG9</xm:sqref>
        </x14:conditionalFormatting>
        <x14:conditionalFormatting xmlns:xm="http://schemas.microsoft.com/office/excel/2006/main">
          <x14:cfRule type="dataBar" id="{AA39AEE3-EEB1-4F4E-9E16-9CD4D6FDF84E}">
            <x14:dataBar minLength="0" maxLength="100" border="1">
              <x14:cfvo type="num">
                <xm:f>0</xm:f>
              </x14:cfvo>
              <x14:cfvo type="num">
                <xm:f>$Z$14</xm:f>
              </x14:cfvo>
              <x14:borderColor theme="9"/>
              <x14:negativeFillColor rgb="FFFF0000"/>
              <x14:axisColor rgb="FF000000"/>
            </x14:dataBar>
          </x14:cfRule>
          <xm:sqref>AG14</xm:sqref>
        </x14:conditionalFormatting>
        <x14:conditionalFormatting xmlns:xm="http://schemas.microsoft.com/office/excel/2006/main">
          <x14:cfRule type="dataBar" id="{DF3C5047-980F-4C16-B1C0-406529972C89}">
            <x14:dataBar minLength="0" maxLength="100" border="1">
              <x14:cfvo type="num">
                <xm:f>0</xm:f>
              </x14:cfvo>
              <x14:cfvo type="num">
                <xm:f>$Z$13</xm:f>
              </x14:cfvo>
              <x14:borderColor theme="9"/>
              <x14:negativeFillColor rgb="FFFF0000"/>
              <x14:axisColor rgb="FF000000"/>
            </x14:dataBar>
          </x14:cfRule>
          <xm:sqref>AG13</xm:sqref>
        </x14:conditionalFormatting>
        <x14:conditionalFormatting xmlns:xm="http://schemas.microsoft.com/office/excel/2006/main">
          <x14:cfRule type="dataBar" id="{15C53DC9-D0D7-4D24-A6E5-51F998B99699}">
            <x14:dataBar minLength="0" maxLength="100" border="1">
              <x14:cfvo type="num">
                <xm:f>0</xm:f>
              </x14:cfvo>
              <x14:cfvo type="num">
                <xm:f>$D$42</xm:f>
              </x14:cfvo>
              <x14:borderColor theme="9" tint="-0.249977111117893"/>
              <x14:negativeFillColor rgb="FFFF0000"/>
              <x14:axisColor rgb="FF000000"/>
            </x14:dataBar>
          </x14:cfRule>
          <xm:sqref>E42:L42</xm:sqref>
        </x14:conditionalFormatting>
        <x14:conditionalFormatting xmlns:xm="http://schemas.microsoft.com/office/excel/2006/main">
          <x14:cfRule type="dataBar" id="{CCDEA010-ED4C-44A5-9B44-B778B760FE52}">
            <x14:dataBar minLength="0" maxLength="100" border="1">
              <x14:cfvo type="num">
                <xm:f>0</xm:f>
              </x14:cfvo>
              <x14:cfvo type="num">
                <xm:f>$D$43</xm:f>
              </x14:cfvo>
              <x14:borderColor theme="9" tint="-0.249977111117893"/>
              <x14:negativeFillColor rgb="FFFF0000"/>
              <x14:axisColor rgb="FF000000"/>
            </x14:dataBar>
          </x14:cfRule>
          <xm:sqref>E43</xm:sqref>
        </x14:conditionalFormatting>
        <x14:conditionalFormatting xmlns:xm="http://schemas.microsoft.com/office/excel/2006/main">
          <x14:cfRule type="dataBar" id="{0CB86392-1097-40B3-BF8C-59699C016459}">
            <x14:dataBar minLength="0" maxLength="100" border="1">
              <x14:cfvo type="num">
                <xm:f>0</xm:f>
              </x14:cfvo>
              <x14:cfvo type="num">
                <xm:f>$D$9</xm:f>
              </x14:cfvo>
              <x14:borderColor theme="9" tint="-0.249977111117893"/>
              <x14:negativeFillColor rgb="FFFF0000"/>
              <x14:axisColor rgb="FF000000"/>
            </x14:dataBar>
          </x14:cfRule>
          <xm:sqref>E9</xm:sqref>
        </x14:conditionalFormatting>
        <x14:conditionalFormatting xmlns:xm="http://schemas.microsoft.com/office/excel/2006/main">
          <x14:cfRule type="dataBar" id="{FB1A5B65-56BC-4694-85B6-0F668E45C0C3}">
            <x14:dataBar minLength="0" maxLength="100" border="1">
              <x14:cfvo type="num">
                <xm:f>0</xm:f>
              </x14:cfvo>
              <x14:cfvo type="num">
                <xm:f>$L$43</xm:f>
              </x14:cfvo>
              <x14:borderColor theme="5" tint="0.59999389629810485"/>
              <x14:negativeFillColor rgb="FFFF0000"/>
              <x14:axisColor rgb="FF000000"/>
            </x14:dataBar>
          </x14:cfRule>
          <xm:sqref>O43</xm:sqref>
        </x14:conditionalFormatting>
        <x14:conditionalFormatting xmlns:xm="http://schemas.microsoft.com/office/excel/2006/main">
          <x14:cfRule type="dataBar" id="{1AAECEF5-0B56-4849-A623-0334D7BE8158}">
            <x14:dataBar minLength="0" maxLength="100" border="1">
              <x14:cfvo type="num">
                <xm:f>0</xm:f>
              </x14:cfvo>
              <x14:cfvo type="num">
                <xm:f>$D$50</xm:f>
              </x14:cfvo>
              <x14:borderColor theme="9" tint="-0.249977111117893"/>
              <x14:negativeFillColor rgb="FFFF0000"/>
              <x14:axisColor rgb="FF000000"/>
            </x14:dataBar>
          </x14:cfRule>
          <xm:sqref>E50:F50</xm:sqref>
        </x14:conditionalFormatting>
        <x14:conditionalFormatting xmlns:xm="http://schemas.microsoft.com/office/excel/2006/main">
          <x14:cfRule type="dataBar" id="{64B5B2EA-D51C-4149-B1BF-248F9B5CD225}">
            <x14:dataBar minLength="0" maxLength="100" border="1" negativeBarBorderColorSameAsPositive="0">
              <x14:cfvo type="num">
                <xm:f>0</xm:f>
              </x14:cfvo>
              <x14:cfvo type="num">
                <xm:f>1</xm:f>
              </x14:cfvo>
              <x14:borderColor rgb="FF63C384"/>
              <x14:negativeFillColor rgb="FFFF0000"/>
              <x14:negativeBorderColor rgb="FFFF0000"/>
              <x14:axisColor rgb="FF000000"/>
            </x14:dataBar>
          </x14:cfRule>
          <xm:sqref>AA5</xm:sqref>
        </x14:conditionalFormatting>
        <x14:conditionalFormatting xmlns:xm="http://schemas.microsoft.com/office/excel/2006/main">
          <x14:cfRule type="dataBar" id="{D20727A1-4BC5-4A90-A98B-E9A3579B3D33}">
            <x14:dataBar minLength="0" maxLength="100" border="1" negativeBarBorderColorSameAsPositive="0">
              <x14:cfvo type="num">
                <xm:f>0</xm:f>
              </x14:cfvo>
              <x14:cfvo type="num">
                <xm:f>1</xm:f>
              </x14:cfvo>
              <x14:borderColor rgb="FF63C384"/>
              <x14:negativeFillColor rgb="FFFF0000"/>
              <x14:negativeBorderColor rgb="FFFF0000"/>
              <x14:axisColor rgb="FF000000"/>
            </x14:dataBar>
          </x14:cfRule>
          <xm:sqref>AA6:AA8</xm:sqref>
        </x14:conditionalFormatting>
        <x14:conditionalFormatting xmlns:xm="http://schemas.microsoft.com/office/excel/2006/main">
          <x14:cfRule type="dataBar" id="{41C36EDA-D9AF-421C-951B-DD6C6E48D4F8}">
            <x14:dataBar minLength="0" maxLength="100" border="1">
              <x14:cfvo type="num">
                <xm:f>0</xm:f>
              </x14:cfvo>
              <x14:cfvo type="num">
                <xm:f>$Z$23</xm:f>
              </x14:cfvo>
              <x14:borderColor theme="9"/>
              <x14:negativeFillColor rgb="FFFF0000"/>
              <x14:axisColor rgb="FF000000"/>
            </x14:dataBar>
          </x14:cfRule>
          <xm:sqref>AG23</xm:sqref>
        </x14:conditionalFormatting>
        <x14:conditionalFormatting xmlns:xm="http://schemas.microsoft.com/office/excel/2006/main">
          <x14:cfRule type="dataBar" id="{70338903-C1E7-4BD0-BBF8-09D6B280308E}">
            <x14:dataBar minLength="0" maxLength="100" border="1">
              <x14:cfvo type="num">
                <xm:f>0</xm:f>
              </x14:cfvo>
              <x14:cfvo type="num">
                <xm:f>$Z$5</xm:f>
              </x14:cfvo>
              <x14:borderColor theme="9"/>
              <x14:negativeFillColor rgb="FFFF0000"/>
              <x14:axisColor rgb="FF000000"/>
            </x14:dataBar>
          </x14:cfRule>
          <xm:sqref>AG5</xm:sqref>
        </x14:conditionalFormatting>
        <x14:conditionalFormatting xmlns:xm="http://schemas.microsoft.com/office/excel/2006/main">
          <x14:cfRule type="dataBar" id="{31940955-74AE-408C-ACE6-A68C70157686}">
            <x14:dataBar minLength="0" maxLength="100" border="1">
              <x14:cfvo type="num">
                <xm:f>0</xm:f>
              </x14:cfvo>
              <x14:cfvo type="num">
                <xm:f>$Z$4</xm:f>
              </x14:cfvo>
              <x14:borderColor theme="9"/>
              <x14:negativeFillColor rgb="FFFF0000"/>
              <x14:axisColor rgb="FF000000"/>
            </x14:dataBar>
          </x14:cfRule>
          <xm:sqref>AG4</xm:sqref>
        </x14:conditionalFormatting>
        <x14:conditionalFormatting xmlns:xm="http://schemas.microsoft.com/office/excel/2006/main">
          <x14:cfRule type="dataBar" id="{91A75B27-0680-4189-9013-898B1A037E26}">
            <x14:dataBar minLength="0" maxLength="100" border="1">
              <x14:cfvo type="num">
                <xm:f>0</xm:f>
              </x14:cfvo>
              <x14:cfvo type="num">
                <xm:f>$Z$31</xm:f>
              </x14:cfvo>
              <x14:borderColor theme="9"/>
              <x14:negativeFillColor rgb="FFFF0000"/>
              <x14:axisColor rgb="FF000000"/>
            </x14:dataBar>
          </x14:cfRule>
          <xm:sqref>AG31</xm:sqref>
        </x14:conditionalFormatting>
        <x14:conditionalFormatting xmlns:xm="http://schemas.microsoft.com/office/excel/2006/main">
          <x14:cfRule type="dataBar" id="{E9F3E8B3-5685-45FC-A50E-4A012832E3FF}">
            <x14:dataBar minLength="0" maxLength="100" border="1">
              <x14:cfvo type="num">
                <xm:f>0</xm:f>
              </x14:cfvo>
              <x14:cfvo type="num">
                <xm:f>$Z$32</xm:f>
              </x14:cfvo>
              <x14:borderColor theme="9"/>
              <x14:negativeFillColor rgb="FFFF0000"/>
              <x14:axisColor rgb="FF000000"/>
            </x14:dataBar>
          </x14:cfRule>
          <xm:sqref>AG32</xm:sqref>
        </x14:conditionalFormatting>
        <x14:conditionalFormatting xmlns:xm="http://schemas.microsoft.com/office/excel/2006/main">
          <x14:cfRule type="dataBar" id="{EC6C196D-E694-4FA5-BB2A-CB338CCB5EE4}">
            <x14:dataBar minLength="0" maxLength="100" border="1">
              <x14:cfvo type="num">
                <xm:f>0</xm:f>
              </x14:cfvo>
              <x14:cfvo type="num">
                <xm:f>$Z$30</xm:f>
              </x14:cfvo>
              <x14:borderColor theme="9"/>
              <x14:negativeFillColor rgb="FFFF0000"/>
              <x14:axisColor rgb="FF000000"/>
            </x14:dataBar>
          </x14:cfRule>
          <xm:sqref>AG30</xm:sqref>
        </x14:conditionalFormatting>
        <x14:conditionalFormatting xmlns:xm="http://schemas.microsoft.com/office/excel/2006/main">
          <x14:cfRule type="dataBar" id="{633C1774-3F72-400E-8DB8-870C73A45B61}">
            <x14:dataBar minLength="0" maxLength="100" border="1">
              <x14:cfvo type="num">
                <xm:f>0</xm:f>
              </x14:cfvo>
              <x14:cfvo type="num">
                <xm:f>$Z$38</xm:f>
              </x14:cfvo>
              <x14:borderColor theme="9"/>
              <x14:negativeFillColor rgb="FFFF0000"/>
              <x14:axisColor rgb="FF000000"/>
            </x14:dataBar>
          </x14:cfRule>
          <xm:sqref>AG38</xm:sqref>
        </x14:conditionalFormatting>
        <x14:conditionalFormatting xmlns:xm="http://schemas.microsoft.com/office/excel/2006/main">
          <x14:cfRule type="dataBar" id="{E98F759D-99A2-4999-B5AD-E087084D7CCB}">
            <x14:dataBar minLength="0" maxLength="100" border="1" negativeBarBorderColorSameAsPositive="0">
              <x14:cfvo type="num">
                <xm:f>0</xm:f>
              </x14:cfvo>
              <x14:cfvo type="num">
                <xm:f>1</xm:f>
              </x14:cfvo>
              <x14:borderColor rgb="FF63C384"/>
              <x14:negativeFillColor rgb="FFFF0000"/>
              <x14:negativeBorderColor rgb="FFFF0000"/>
              <x14:axisColor rgb="FF000000"/>
            </x14:dataBar>
          </x14:cfRule>
          <xm:sqref>AA38</xm:sqref>
        </x14:conditionalFormatting>
        <x14:conditionalFormatting xmlns:xm="http://schemas.microsoft.com/office/excel/2006/main">
          <x14:cfRule type="dataBar" id="{B8BDB362-612A-43F4-ABD9-DB915DDBBB4F}">
            <x14:dataBar minLength="0" maxLength="100" border="1">
              <x14:cfvo type="num">
                <xm:f>0</xm:f>
              </x14:cfvo>
              <x14:cfvo type="num">
                <xm:f>$Z$34</xm:f>
              </x14:cfvo>
              <x14:borderColor theme="9"/>
              <x14:negativeFillColor rgb="FFFF0000"/>
              <x14:axisColor rgb="FF000000"/>
            </x14:dataBar>
          </x14:cfRule>
          <xm:sqref>AG34</xm:sqref>
        </x14:conditionalFormatting>
        <x14:conditionalFormatting xmlns:xm="http://schemas.microsoft.com/office/excel/2006/main">
          <x14:cfRule type="dataBar" id="{195A736E-E18F-4AA9-8285-B3530102A1CC}">
            <x14:dataBar minLength="0" maxLength="100" border="1" negativeBarBorderColorSameAsPositive="0">
              <x14:cfvo type="num">
                <xm:f>0</xm:f>
              </x14:cfvo>
              <x14:cfvo type="num">
                <xm:f>1</xm:f>
              </x14:cfvo>
              <x14:borderColor rgb="FF63C384"/>
              <x14:negativeFillColor rgb="FFFF0000"/>
              <x14:negativeBorderColor rgb="FFFF0000"/>
              <x14:axisColor rgb="FF000000"/>
            </x14:dataBar>
          </x14:cfRule>
          <xm:sqref>AA36</xm:sqref>
        </x14:conditionalFormatting>
        <x14:conditionalFormatting xmlns:xm="http://schemas.microsoft.com/office/excel/2006/main">
          <x14:cfRule type="dataBar" id="{B8F3C518-242F-4F84-96A5-49688E7713E4}">
            <x14:dataBar minLength="0" maxLength="100" border="1">
              <x14:cfvo type="num">
                <xm:f>0</xm:f>
              </x14:cfvo>
              <x14:cfvo type="num">
                <xm:f>$Z$36</xm:f>
              </x14:cfvo>
              <x14:borderColor theme="9"/>
              <x14:negativeFillColor rgb="FFFF0000"/>
              <x14:axisColor rgb="FF000000"/>
            </x14:dataBar>
          </x14:cfRule>
          <xm:sqref>AG36</xm:sqref>
        </x14:conditionalFormatting>
        <x14:conditionalFormatting xmlns:xm="http://schemas.microsoft.com/office/excel/2006/main">
          <x14:cfRule type="dataBar" id="{58D3BD26-C95A-4F64-9A16-B57408424B82}">
            <x14:dataBar minLength="0" maxLength="100" border="1">
              <x14:cfvo type="num">
                <xm:f>0</xm:f>
              </x14:cfvo>
              <x14:cfvo type="num">
                <xm:f>$Z$35</xm:f>
              </x14:cfvo>
              <x14:borderColor theme="9"/>
              <x14:negativeFillColor rgb="FFFF0000"/>
              <x14:axisColor rgb="FF000000"/>
            </x14:dataBar>
          </x14:cfRule>
          <xm:sqref>AG35</xm:sqref>
        </x14:conditionalFormatting>
        <x14:conditionalFormatting xmlns:xm="http://schemas.microsoft.com/office/excel/2006/main">
          <x14:cfRule type="dataBar" id="{C6E935D8-54CD-4733-969C-1CDB0005C3C3}">
            <x14:dataBar minLength="0" maxLength="100" border="1">
              <x14:cfvo type="num">
                <xm:f>0</xm:f>
              </x14:cfvo>
              <x14:cfvo type="num">
                <xm:f>$Z$33</xm:f>
              </x14:cfvo>
              <x14:borderColor theme="9"/>
              <x14:negativeFillColor rgb="FFFF0000"/>
              <x14:axisColor rgb="FF000000"/>
            </x14:dataBar>
          </x14:cfRule>
          <xm:sqref>AG33</xm:sqref>
        </x14:conditionalFormatting>
        <x14:conditionalFormatting xmlns:xm="http://schemas.microsoft.com/office/excel/2006/main">
          <x14:cfRule type="dataBar" id="{D441370C-E952-4342-990E-B62A99791F42}">
            <x14:dataBar minLength="0" maxLength="100" border="1" negativeBarBorderColorSameAsPositive="0">
              <x14:cfvo type="num">
                <xm:f>0</xm:f>
              </x14:cfvo>
              <x14:cfvo type="num">
                <xm:f>$Z$28</xm:f>
              </x14:cfvo>
              <x14:borderColor theme="9"/>
              <x14:negativeFillColor rgb="FFFF0000"/>
              <x14:negativeBorderColor rgb="FFFF0000"/>
              <x14:axisColor rgb="FF000000"/>
            </x14:dataBar>
          </x14:cfRule>
          <xm:sqref>AG28</xm:sqref>
        </x14:conditionalFormatting>
        <x14:conditionalFormatting xmlns:xm="http://schemas.microsoft.com/office/excel/2006/main">
          <x14:cfRule type="dataBar" id="{127870AE-C1DC-4BC9-93E4-D6F61A62B462}">
            <x14:dataBar minLength="0" maxLength="100" border="1">
              <x14:cfvo type="num">
                <xm:f>0</xm:f>
              </x14:cfvo>
              <x14:cfvo type="num">
                <xm:f>$Z$37</xm:f>
              </x14:cfvo>
              <x14:borderColor theme="9"/>
              <x14:negativeFillColor rgb="FFFF0000"/>
              <x14:axisColor rgb="FF000000"/>
            </x14:dataBar>
          </x14:cfRule>
          <xm:sqref>AG37</xm:sqref>
        </x14:conditionalFormatting>
        <x14:conditionalFormatting xmlns:xm="http://schemas.microsoft.com/office/excel/2006/main">
          <x14:cfRule type="dataBar" id="{8D3BCFF3-DC15-442E-AF53-75FF5055BD95}">
            <x14:dataBar minLength="0" maxLength="100" border="1" negativeBarBorderColorSameAsPositive="0">
              <x14:cfvo type="num">
                <xm:f>0</xm:f>
              </x14:cfvo>
              <x14:cfvo type="num">
                <xm:f>1</xm:f>
              </x14:cfvo>
              <x14:borderColor rgb="FF63C384"/>
              <x14:negativeFillColor rgb="FFFF0000"/>
              <x14:negativeBorderColor rgb="FFFF0000"/>
              <x14:axisColor rgb="FF000000"/>
            </x14:dataBar>
          </x14:cfRule>
          <xm:sqref>AA37</xm:sqref>
        </x14:conditionalFormatting>
        <x14:conditionalFormatting xmlns:xm="http://schemas.microsoft.com/office/excel/2006/main">
          <x14:cfRule type="dataBar" id="{6C16823A-1C27-4D0F-B136-6DEFF2205119}">
            <x14:dataBar minLength="0" maxLength="100" border="1">
              <x14:cfvo type="num">
                <xm:f>0</xm:f>
              </x14:cfvo>
              <x14:cfvo type="num">
                <xm:f>$Z$8</xm:f>
              </x14:cfvo>
              <x14:borderColor theme="9"/>
              <x14:negativeFillColor rgb="FFFF0000"/>
              <x14:axisColor rgb="FF000000"/>
            </x14:dataBar>
          </x14:cfRule>
          <xm:sqref>AG39 AG41</xm:sqref>
        </x14:conditionalFormatting>
        <x14:conditionalFormatting xmlns:xm="http://schemas.microsoft.com/office/excel/2006/main">
          <x14:cfRule type="dataBar" id="{4F258252-C828-45C7-927A-7C322F690582}">
            <x14:dataBar minLength="0" maxLength="100" border="1">
              <x14:cfvo type="num">
                <xm:f>0</xm:f>
              </x14:cfvo>
              <x14:cfvo type="num">
                <xm:f>$Z$6</xm:f>
              </x14:cfvo>
              <x14:borderColor theme="9"/>
              <x14:negativeFillColor rgb="FFFF0000"/>
              <x14:axisColor rgb="FF000000"/>
            </x14:dataBar>
          </x14:cfRule>
          <xm:sqref>AG6</xm:sqref>
        </x14:conditionalFormatting>
        <x14:conditionalFormatting xmlns:xm="http://schemas.microsoft.com/office/excel/2006/main">
          <x14:cfRule type="dataBar" id="{7B91FE59-E133-4053-862C-7A8AFDFD83FF}">
            <x14:dataBar minLength="0" maxLength="100" border="1">
              <x14:cfvo type="num">
                <xm:f>0</xm:f>
              </x14:cfvo>
              <x14:cfvo type="num">
                <xm:f>$Z$7</xm:f>
              </x14:cfvo>
              <x14:borderColor theme="9"/>
              <x14:negativeFillColor rgb="FFFF0000"/>
              <x14:axisColor rgb="FF000000"/>
            </x14:dataBar>
          </x14:cfRule>
          <xm:sqref>AG7</xm:sqref>
        </x14:conditionalFormatting>
        <x14:conditionalFormatting xmlns:xm="http://schemas.microsoft.com/office/excel/2006/main">
          <x14:cfRule type="dataBar" id="{0245A7B0-1193-44E6-B74C-E67D9E705EC1}">
            <x14:dataBar minLength="0" maxLength="100" border="1" negativeBarBorderColorSameAsPositive="0">
              <x14:cfvo type="num">
                <xm:f>0</xm:f>
              </x14:cfvo>
              <x14:cfvo type="num">
                <xm:f>1</xm:f>
              </x14:cfvo>
              <x14:borderColor rgb="FF63C384"/>
              <x14:negativeFillColor rgb="FFFF0000"/>
              <x14:negativeBorderColor rgb="FFFF0000"/>
              <x14:axisColor rgb="FF000000"/>
            </x14:dataBar>
          </x14:cfRule>
          <xm:sqref>AA39 AA41</xm:sqref>
        </x14:conditionalFormatting>
        <x14:conditionalFormatting xmlns:xm="http://schemas.microsoft.com/office/excel/2006/main">
          <x14:cfRule type="dataBar" id="{906ED84A-A235-47BA-9636-A1686A192FCE}">
            <x14:dataBar minLength="0" maxLength="100" border="1">
              <x14:cfvo type="num">
                <xm:f>0</xm:f>
              </x14:cfvo>
              <x14:cfvo type="num">
                <xm:f>$Z$8</xm:f>
              </x14:cfvo>
              <x14:borderColor theme="9"/>
              <x14:negativeFillColor rgb="FFFF0000"/>
              <x14:axisColor rgb="FF000000"/>
            </x14:dataBar>
          </x14:cfRule>
          <xm:sqref>AG40</xm:sqref>
        </x14:conditionalFormatting>
        <x14:conditionalFormatting xmlns:xm="http://schemas.microsoft.com/office/excel/2006/main">
          <x14:cfRule type="dataBar" id="{500A610C-7A1B-4601-A1A4-6E07A73619F8}">
            <x14:dataBar minLength="0" maxLength="100" border="1" negativeBarBorderColorSameAsPositive="0">
              <x14:cfvo type="num">
                <xm:f>0</xm:f>
              </x14:cfvo>
              <x14:cfvo type="num">
                <xm:f>1</xm:f>
              </x14:cfvo>
              <x14:borderColor rgb="FF63C384"/>
              <x14:negativeFillColor rgb="FFFF0000"/>
              <x14:negativeBorderColor rgb="FFFF0000"/>
              <x14:axisColor rgb="FF000000"/>
            </x14:dataBar>
          </x14:cfRule>
          <xm:sqref>AA40</xm:sqref>
        </x14:conditionalFormatting>
        <x14:conditionalFormatting xmlns:xm="http://schemas.microsoft.com/office/excel/2006/main">
          <x14:cfRule type="dataBar" id="{20113F3B-17A4-499F-8A15-D3C30BFB6AFF}">
            <x14:dataBar minLength="0" maxLength="100" border="1" negativeBarBorderColorSameAsPositive="0">
              <x14:cfvo type="num">
                <xm:f>0</xm:f>
              </x14:cfvo>
              <x14:cfvo type="num">
                <xm:f>$Z$29</xm:f>
              </x14:cfvo>
              <x14:borderColor theme="9"/>
              <x14:negativeFillColor rgb="FFFF0000"/>
              <x14:negativeBorderColor rgb="FFFF0000"/>
              <x14:axisColor rgb="FF000000"/>
            </x14:dataBar>
          </x14:cfRule>
          <xm:sqref>AG29</xm:sqref>
        </x14:conditionalFormatting>
        <x14:conditionalFormatting xmlns:xm="http://schemas.microsoft.com/office/excel/2006/main">
          <x14:cfRule type="dataBar" id="{7B20D8CF-0E04-4F1E-8DC7-7E0CB1931CC0}">
            <x14:dataBar minLength="0" maxLength="100" border="1">
              <x14:cfvo type="num">
                <xm:f>0</xm:f>
              </x14:cfvo>
              <x14:cfvo type="num">
                <xm:f>$Z$7</xm:f>
              </x14:cfvo>
              <x14:borderColor theme="9"/>
              <x14:negativeFillColor rgb="FFFF0000"/>
              <x14:axisColor rgb="FF000000"/>
            </x14:dataBar>
          </x14:cfRule>
          <xm:sqref>AG8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topLeftCell="B1" zoomScale="90" zoomScaleNormal="90" workbookViewId="0">
      <selection activeCell="I11" sqref="I11"/>
    </sheetView>
  </sheetViews>
  <sheetFormatPr defaultRowHeight="15" x14ac:dyDescent="0.25"/>
  <cols>
    <col min="1" max="1" width="62" customWidth="1"/>
    <col min="2" max="2" width="20.140625" customWidth="1"/>
    <col min="3" max="3" width="17" customWidth="1"/>
    <col min="4" max="4" width="12.85546875" customWidth="1"/>
    <col min="5" max="5" width="91.7109375" customWidth="1"/>
  </cols>
  <sheetData>
    <row r="1" spans="1:5" ht="15.75" x14ac:dyDescent="0.25">
      <c r="A1" s="1" t="s">
        <v>2127</v>
      </c>
    </row>
    <row r="2" spans="1:5" ht="18.75" x14ac:dyDescent="0.3">
      <c r="A2" s="40" t="s">
        <v>70</v>
      </c>
    </row>
    <row r="3" spans="1:5" ht="15.75" x14ac:dyDescent="0.25">
      <c r="A3" s="41" t="s">
        <v>71</v>
      </c>
      <c r="B3" s="41"/>
      <c r="C3" s="41"/>
      <c r="D3" s="41"/>
      <c r="E3" s="41"/>
    </row>
    <row r="4" spans="1:5" ht="15.75" x14ac:dyDescent="0.25">
      <c r="A4" s="42" t="s">
        <v>72</v>
      </c>
      <c r="B4" s="43" t="s">
        <v>73</v>
      </c>
      <c r="C4" s="43" t="s">
        <v>74</v>
      </c>
      <c r="D4" s="44" t="s">
        <v>75</v>
      </c>
      <c r="E4" s="44" t="s">
        <v>76</v>
      </c>
    </row>
    <row r="5" spans="1:5" ht="60" x14ac:dyDescent="0.25">
      <c r="A5" s="45" t="s">
        <v>34</v>
      </c>
      <c r="B5" s="46">
        <v>266000000</v>
      </c>
      <c r="C5" s="47" t="s">
        <v>77</v>
      </c>
      <c r="D5" s="990" t="s">
        <v>1249</v>
      </c>
      <c r="E5" s="48" t="s">
        <v>2115</v>
      </c>
    </row>
    <row r="6" spans="1:5" ht="18.75" x14ac:dyDescent="0.3">
      <c r="A6" s="40" t="s">
        <v>78</v>
      </c>
    </row>
    <row r="7" spans="1:5" ht="15.75" x14ac:dyDescent="0.25">
      <c r="A7" s="41" t="s">
        <v>79</v>
      </c>
      <c r="B7" s="41"/>
      <c r="C7" s="41"/>
      <c r="D7" s="41"/>
      <c r="E7" s="41"/>
    </row>
    <row r="8" spans="1:5" ht="15.75" x14ac:dyDescent="0.25">
      <c r="A8" s="41"/>
      <c r="B8" s="41" t="s">
        <v>80</v>
      </c>
      <c r="C8" s="41"/>
      <c r="D8" s="41"/>
      <c r="E8" s="41"/>
    </row>
    <row r="9" spans="1:5" ht="15.75" x14ac:dyDescent="0.25">
      <c r="A9" s="49" t="s">
        <v>72</v>
      </c>
      <c r="B9" s="44" t="s">
        <v>73</v>
      </c>
      <c r="C9" s="44" t="s">
        <v>74</v>
      </c>
      <c r="D9" s="44" t="s">
        <v>75</v>
      </c>
      <c r="E9" s="44" t="s">
        <v>76</v>
      </c>
    </row>
    <row r="10" spans="1:5" ht="18.75" x14ac:dyDescent="0.3">
      <c r="A10" s="40" t="s">
        <v>81</v>
      </c>
    </row>
    <row r="11" spans="1:5" ht="15.75" x14ac:dyDescent="0.25">
      <c r="A11" s="50" t="s">
        <v>82</v>
      </c>
      <c r="B11" s="50"/>
      <c r="C11" s="50"/>
      <c r="D11" s="50"/>
      <c r="E11" s="50"/>
    </row>
    <row r="13" spans="1:5" ht="15.75" x14ac:dyDescent="0.25">
      <c r="A13" s="51" t="s">
        <v>83</v>
      </c>
      <c r="B13" s="52"/>
      <c r="C13" s="52"/>
      <c r="D13" s="52"/>
      <c r="E13" s="52"/>
    </row>
    <row r="14" spans="1:5" ht="15.75" x14ac:dyDescent="0.25">
      <c r="A14" s="42" t="s">
        <v>72</v>
      </c>
      <c r="B14" s="43" t="s">
        <v>73</v>
      </c>
      <c r="C14" s="43" t="s">
        <v>74</v>
      </c>
      <c r="D14" s="44" t="s">
        <v>75</v>
      </c>
      <c r="E14" s="44" t="s">
        <v>76</v>
      </c>
    </row>
    <row r="15" spans="1:5" s="55" customFormat="1" ht="30" x14ac:dyDescent="0.25">
      <c r="A15" s="45" t="s">
        <v>84</v>
      </c>
      <c r="B15" s="53">
        <v>350000000</v>
      </c>
      <c r="C15" s="54">
        <v>43607</v>
      </c>
      <c r="D15" s="1241" t="s">
        <v>85</v>
      </c>
      <c r="E15" s="1295" t="s">
        <v>2105</v>
      </c>
    </row>
    <row r="16" spans="1:5" ht="45" x14ac:dyDescent="0.25">
      <c r="A16" s="45" t="s">
        <v>86</v>
      </c>
      <c r="B16" s="56">
        <v>100000000</v>
      </c>
      <c r="C16" s="54">
        <v>43804</v>
      </c>
      <c r="D16" s="1260" t="s">
        <v>2117</v>
      </c>
      <c r="E16" s="1260" t="s">
        <v>2141</v>
      </c>
    </row>
    <row r="17" spans="1:5" s="58" customFormat="1" ht="30" x14ac:dyDescent="0.25">
      <c r="A17" s="45" t="s">
        <v>88</v>
      </c>
      <c r="B17" s="57">
        <v>150000000</v>
      </c>
      <c r="C17" s="54">
        <v>43902</v>
      </c>
      <c r="D17" s="1260" t="s">
        <v>87</v>
      </c>
      <c r="E17" s="1295" t="s">
        <v>2142</v>
      </c>
    </row>
    <row r="18" spans="1:5" s="58" customFormat="1" ht="30" x14ac:dyDescent="0.25">
      <c r="A18" s="985" t="s">
        <v>89</v>
      </c>
      <c r="B18" s="57">
        <v>100000000</v>
      </c>
      <c r="C18" s="986">
        <v>43879</v>
      </c>
      <c r="D18" s="1241" t="s">
        <v>2103</v>
      </c>
      <c r="E18" s="1295" t="s">
        <v>2148</v>
      </c>
    </row>
    <row r="19" spans="1:5" x14ac:dyDescent="0.25">
      <c r="A19" s="987"/>
      <c r="B19" s="589"/>
      <c r="C19" s="988"/>
      <c r="D19" s="989"/>
      <c r="E19" s="989"/>
    </row>
    <row r="20" spans="1:5" ht="15.75" x14ac:dyDescent="0.25">
      <c r="A20" s="1391" t="s">
        <v>90</v>
      </c>
      <c r="B20" s="1391"/>
      <c r="C20" s="1391"/>
      <c r="D20" s="1391"/>
      <c r="E20" s="1391"/>
    </row>
    <row r="21" spans="1:5" x14ac:dyDescent="0.25">
      <c r="A21" s="55"/>
      <c r="B21" s="55"/>
      <c r="C21" s="55"/>
      <c r="D21" s="55"/>
      <c r="E21" s="55"/>
    </row>
    <row r="22" spans="1:5" ht="15.75" x14ac:dyDescent="0.25">
      <c r="A22" s="49" t="s">
        <v>72</v>
      </c>
      <c r="B22" s="44" t="s">
        <v>73</v>
      </c>
      <c r="C22" s="44" t="s">
        <v>74</v>
      </c>
      <c r="D22" s="44" t="s">
        <v>75</v>
      </c>
      <c r="E22" s="44" t="s">
        <v>76</v>
      </c>
    </row>
    <row r="24" spans="1:5" ht="15.75" x14ac:dyDescent="0.25">
      <c r="A24" s="1390" t="s">
        <v>91</v>
      </c>
      <c r="B24" s="1390"/>
      <c r="C24" s="1390"/>
      <c r="D24" s="1390"/>
      <c r="E24" s="1390"/>
    </row>
    <row r="26" spans="1:5" ht="15.75" x14ac:dyDescent="0.25">
      <c r="A26" s="42" t="s">
        <v>72</v>
      </c>
      <c r="B26" s="43" t="s">
        <v>73</v>
      </c>
      <c r="C26" s="43" t="s">
        <v>74</v>
      </c>
      <c r="D26" s="44" t="s">
        <v>75</v>
      </c>
      <c r="E26" s="44" t="s">
        <v>76</v>
      </c>
    </row>
    <row r="27" spans="1:5" ht="45" x14ac:dyDescent="0.25">
      <c r="A27" s="59" t="s">
        <v>92</v>
      </c>
      <c r="B27" s="46">
        <v>66000000</v>
      </c>
      <c r="C27" s="60" t="s">
        <v>93</v>
      </c>
      <c r="D27" s="48" t="s">
        <v>94</v>
      </c>
      <c r="E27" s="1264" t="s">
        <v>2118</v>
      </c>
    </row>
    <row r="28" spans="1:5" ht="30" x14ac:dyDescent="0.25">
      <c r="A28" s="59" t="s">
        <v>95</v>
      </c>
      <c r="B28" s="46">
        <v>91500000</v>
      </c>
      <c r="C28" s="60"/>
      <c r="D28" s="48" t="s">
        <v>96</v>
      </c>
      <c r="E28" s="1314" t="s">
        <v>2125</v>
      </c>
    </row>
    <row r="29" spans="1:5" ht="30" x14ac:dyDescent="0.25">
      <c r="A29" s="59" t="s">
        <v>97</v>
      </c>
      <c r="B29" s="47">
        <v>2682000</v>
      </c>
      <c r="C29" s="62" t="s">
        <v>2001</v>
      </c>
      <c r="D29" s="1181" t="s">
        <v>2002</v>
      </c>
      <c r="E29" s="1314" t="s">
        <v>2124</v>
      </c>
    </row>
    <row r="30" spans="1:5" ht="30" x14ac:dyDescent="0.25">
      <c r="A30" s="63" t="s">
        <v>98</v>
      </c>
      <c r="B30" s="56">
        <v>198000000</v>
      </c>
      <c r="C30" s="61"/>
      <c r="D30" s="62" t="s">
        <v>96</v>
      </c>
      <c r="E30" s="1314" t="s">
        <v>2126</v>
      </c>
    </row>
  </sheetData>
  <mergeCells count="2">
    <mergeCell ref="A24:E24"/>
    <mergeCell ref="A20:E20"/>
  </mergeCells>
  <pageMargins left="0.7" right="0.7" top="0.75" bottom="0.75" header="0.3" footer="0.3"/>
  <pageSetup paperSize="9"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3"/>
  <sheetViews>
    <sheetView topLeftCell="G13" zoomScale="90" zoomScaleNormal="90" workbookViewId="0">
      <selection activeCell="G1" sqref="G1"/>
    </sheetView>
  </sheetViews>
  <sheetFormatPr defaultColWidth="9.140625" defaultRowHeight="15" x14ac:dyDescent="0.25"/>
  <cols>
    <col min="1" max="1" width="0.5703125" customWidth="1"/>
    <col min="2" max="2" width="4" style="64" bestFit="1" customWidth="1"/>
    <col min="3" max="3" width="4.7109375" style="64" bestFit="1" customWidth="1"/>
    <col min="4" max="4" width="38.5703125" style="64" customWidth="1"/>
    <col min="5" max="5" width="63" style="178" customWidth="1"/>
    <col min="6" max="6" width="17.42578125" style="73" customWidth="1"/>
    <col min="7" max="7" width="16.5703125" style="71" bestFit="1" customWidth="1"/>
    <col min="8" max="8" width="14.85546875" style="68" customWidth="1"/>
    <col min="9" max="9" width="25.42578125" customWidth="1"/>
    <col min="10" max="10" width="16.42578125" customWidth="1"/>
    <col min="11" max="12" width="18.42578125" customWidth="1"/>
    <col min="13" max="13" width="16" bestFit="1" customWidth="1"/>
    <col min="14" max="14" width="21.7109375" bestFit="1" customWidth="1"/>
  </cols>
  <sheetData>
    <row r="1" spans="2:14" ht="15.75" x14ac:dyDescent="0.25">
      <c r="D1" s="65" t="s">
        <v>99</v>
      </c>
      <c r="E1" s="66" t="s">
        <v>100</v>
      </c>
      <c r="F1" s="67"/>
      <c r="G1" s="1" t="s">
        <v>2127</v>
      </c>
    </row>
    <row r="2" spans="2:14" x14ac:dyDescent="0.25">
      <c r="D2" s="65" t="s">
        <v>101</v>
      </c>
      <c r="E2" s="69">
        <v>304000000</v>
      </c>
      <c r="F2" s="70">
        <v>40000000</v>
      </c>
      <c r="H2" s="72"/>
    </row>
    <row r="3" spans="2:14" ht="15.75" thickBot="1" x14ac:dyDescent="0.3">
      <c r="D3"/>
      <c r="E3"/>
    </row>
    <row r="4" spans="2:14" ht="39" thickBot="1" x14ac:dyDescent="0.3">
      <c r="B4" s="74" t="s">
        <v>102</v>
      </c>
      <c r="C4" s="75" t="s">
        <v>103</v>
      </c>
      <c r="D4" s="75" t="s">
        <v>104</v>
      </c>
      <c r="E4" s="75" t="s">
        <v>105</v>
      </c>
      <c r="F4" s="74" t="s">
        <v>106</v>
      </c>
      <c r="G4" s="75" t="s">
        <v>107</v>
      </c>
      <c r="H4" s="76" t="s">
        <v>108</v>
      </c>
      <c r="I4" s="77" t="s">
        <v>9</v>
      </c>
      <c r="J4" s="77" t="s">
        <v>109</v>
      </c>
      <c r="K4" s="78" t="s">
        <v>110</v>
      </c>
      <c r="L4" s="75" t="s">
        <v>108</v>
      </c>
      <c r="M4" s="75" t="s">
        <v>111</v>
      </c>
    </row>
    <row r="5" spans="2:14" ht="25.5" x14ac:dyDescent="0.25">
      <c r="B5" s="79">
        <v>1</v>
      </c>
      <c r="C5" s="80">
        <v>42</v>
      </c>
      <c r="D5" s="81" t="s">
        <v>112</v>
      </c>
      <c r="E5" s="82" t="s">
        <v>113</v>
      </c>
      <c r="F5" s="83">
        <v>1092300</v>
      </c>
      <c r="G5" s="84">
        <f>F5/7.6</f>
        <v>143723.68421052632</v>
      </c>
      <c r="H5" s="85">
        <f>F5/E2</f>
        <v>3.593092105263158E-3</v>
      </c>
      <c r="I5" s="86">
        <f>40035+16150+941901+17000</f>
        <v>1015086</v>
      </c>
      <c r="J5" s="87">
        <f t="shared" ref="J5:J8" si="0">I5/7.6</f>
        <v>133563.94736842107</v>
      </c>
      <c r="K5" s="88">
        <f>I5/F5</f>
        <v>0.92931062894809113</v>
      </c>
      <c r="L5" s="89">
        <f>I5/304000000</f>
        <v>3.3390986842105263E-3</v>
      </c>
      <c r="M5" s="90" t="s">
        <v>114</v>
      </c>
      <c r="N5" s="55"/>
    </row>
    <row r="6" spans="2:14" ht="25.5" x14ac:dyDescent="0.25">
      <c r="B6" s="91">
        <v>2</v>
      </c>
      <c r="C6" s="92">
        <v>111</v>
      </c>
      <c r="D6" s="93" t="s">
        <v>115</v>
      </c>
      <c r="E6" s="94" t="s">
        <v>116</v>
      </c>
      <c r="F6" s="95">
        <v>4261335.6400000006</v>
      </c>
      <c r="G6" s="96">
        <f t="shared" ref="G6:G69" si="1">F6/7.6</f>
        <v>560702.05789473699</v>
      </c>
      <c r="H6" s="97">
        <f>F6/E2</f>
        <v>1.4017551447368423E-2</v>
      </c>
      <c r="I6" s="98">
        <f>107015+200350.48+32018.97+681209.03+472455.71+749149.9+1834914.05</f>
        <v>4077113.1399999997</v>
      </c>
      <c r="J6" s="98">
        <f t="shared" si="0"/>
        <v>536462.25526315789</v>
      </c>
      <c r="K6" s="99">
        <f t="shared" ref="K6:K69" si="2">I6/F6</f>
        <v>0.95676883597932194</v>
      </c>
      <c r="L6" s="100">
        <f t="shared" ref="L6:L69" si="3">I6/304000000</f>
        <v>1.3411556381578947E-2</v>
      </c>
      <c r="M6" s="101"/>
      <c r="N6" s="55"/>
    </row>
    <row r="7" spans="2:14" ht="27.75" customHeight="1" x14ac:dyDescent="0.25">
      <c r="B7" s="102">
        <v>3</v>
      </c>
      <c r="C7" s="103">
        <v>70</v>
      </c>
      <c r="D7" s="104" t="s">
        <v>117</v>
      </c>
      <c r="E7" s="105" t="s">
        <v>118</v>
      </c>
      <c r="F7" s="106">
        <v>1212217.47</v>
      </c>
      <c r="G7" s="107">
        <f t="shared" si="1"/>
        <v>159502.29868421052</v>
      </c>
      <c r="H7" s="108">
        <f>F7/E2</f>
        <v>3.9875574671052634E-3</v>
      </c>
      <c r="I7" s="87">
        <f>66300+868140+35700</f>
        <v>970140</v>
      </c>
      <c r="J7" s="87">
        <f t="shared" si="0"/>
        <v>127650</v>
      </c>
      <c r="K7" s="88">
        <f t="shared" si="2"/>
        <v>0.80030194582165193</v>
      </c>
      <c r="L7" s="89">
        <f t="shared" si="3"/>
        <v>3.1912500000000001E-3</v>
      </c>
      <c r="M7" s="90" t="s">
        <v>114</v>
      </c>
      <c r="N7" s="55"/>
    </row>
    <row r="8" spans="2:14" ht="25.5" x14ac:dyDescent="0.25">
      <c r="B8" s="102">
        <v>4</v>
      </c>
      <c r="C8" s="103">
        <v>73</v>
      </c>
      <c r="D8" s="104" t="s">
        <v>119</v>
      </c>
      <c r="E8" s="105" t="s">
        <v>120</v>
      </c>
      <c r="F8" s="106">
        <v>1548628.32</v>
      </c>
      <c r="G8" s="107">
        <f t="shared" si="1"/>
        <v>203766.88421052633</v>
      </c>
      <c r="H8" s="108">
        <f>F8/E2</f>
        <v>5.0941721052631585E-3</v>
      </c>
      <c r="I8" s="87">
        <f>99450+1362699.1+86275</f>
        <v>1548424.1</v>
      </c>
      <c r="J8" s="87">
        <f t="shared" si="0"/>
        <v>203740.01315789475</v>
      </c>
      <c r="K8" s="88">
        <f t="shared" si="2"/>
        <v>0.99986812846093376</v>
      </c>
      <c r="L8" s="89">
        <f t="shared" si="3"/>
        <v>5.0935003289473684E-3</v>
      </c>
      <c r="M8" s="90" t="s">
        <v>114</v>
      </c>
      <c r="N8" s="55"/>
    </row>
    <row r="9" spans="2:14" ht="35.1" customHeight="1" x14ac:dyDescent="0.25">
      <c r="B9" s="102">
        <v>5</v>
      </c>
      <c r="C9" s="103">
        <v>72</v>
      </c>
      <c r="D9" s="104" t="s">
        <v>121</v>
      </c>
      <c r="E9" s="105" t="s">
        <v>122</v>
      </c>
      <c r="F9" s="106">
        <v>585557.51</v>
      </c>
      <c r="G9" s="107">
        <f t="shared" si="1"/>
        <v>77047.040789473685</v>
      </c>
      <c r="H9" s="108">
        <f>F9/E2</f>
        <v>1.9261760197368421E-3</v>
      </c>
      <c r="I9" s="87">
        <f>58012.5+233824+173507+13880+41437.5</f>
        <v>520661</v>
      </c>
      <c r="J9" s="87">
        <f>I9/7.6</f>
        <v>68508.026315789481</v>
      </c>
      <c r="K9" s="88">
        <f t="shared" si="2"/>
        <v>0.88917141546011425</v>
      </c>
      <c r="L9" s="89">
        <f t="shared" si="3"/>
        <v>1.7127006578947369E-3</v>
      </c>
      <c r="M9" s="109" t="s">
        <v>114</v>
      </c>
      <c r="N9" s="55"/>
    </row>
    <row r="10" spans="2:14" ht="25.5" x14ac:dyDescent="0.25">
      <c r="B10" s="102">
        <v>6</v>
      </c>
      <c r="C10" s="103">
        <v>67</v>
      </c>
      <c r="D10" s="104" t="s">
        <v>123</v>
      </c>
      <c r="E10" s="105" t="s">
        <v>124</v>
      </c>
      <c r="F10" s="106">
        <v>10372359.569999998</v>
      </c>
      <c r="G10" s="107">
        <f t="shared" si="1"/>
        <v>1364784.1539473683</v>
      </c>
      <c r="H10" s="108">
        <f>F10/E2</f>
        <v>3.4119603848684205E-2</v>
      </c>
      <c r="I10" s="87">
        <f>318750+4174690.26+4871579.09+142820+63750</f>
        <v>9571589.3499999996</v>
      </c>
      <c r="J10" s="87">
        <f t="shared" ref="J10:J73" si="4">I10/7.6</f>
        <v>1259419.6513157894</v>
      </c>
      <c r="K10" s="88">
        <f t="shared" si="2"/>
        <v>0.92279768025820585</v>
      </c>
      <c r="L10" s="89">
        <f t="shared" si="3"/>
        <v>3.1485491282894733E-2</v>
      </c>
      <c r="M10" s="109" t="s">
        <v>114</v>
      </c>
      <c r="N10" s="55"/>
    </row>
    <row r="11" spans="2:14" ht="25.5" x14ac:dyDescent="0.25">
      <c r="B11" s="91">
        <v>7</v>
      </c>
      <c r="C11" s="92">
        <v>115</v>
      </c>
      <c r="D11" s="93" t="s">
        <v>125</v>
      </c>
      <c r="E11" s="94" t="s">
        <v>126</v>
      </c>
      <c r="F11" s="95">
        <v>6923390.8499999996</v>
      </c>
      <c r="G11" s="96">
        <f t="shared" si="1"/>
        <v>910972.48026315786</v>
      </c>
      <c r="H11" s="97">
        <f>F11/E2</f>
        <v>2.2774312006578947E-2</v>
      </c>
      <c r="I11" s="98">
        <f>160650+14110+28220+70550+14110+28220</f>
        <v>315860</v>
      </c>
      <c r="J11" s="98">
        <f t="shared" si="4"/>
        <v>41560.526315789473</v>
      </c>
      <c r="K11" s="99">
        <f t="shared" si="2"/>
        <v>4.5622153485672418E-2</v>
      </c>
      <c r="L11" s="100">
        <f t="shared" si="3"/>
        <v>1.0390131578947369E-3</v>
      </c>
      <c r="M11" s="101"/>
      <c r="N11" s="55"/>
    </row>
    <row r="12" spans="2:14" ht="25.5" x14ac:dyDescent="0.25">
      <c r="B12" s="91">
        <v>8</v>
      </c>
      <c r="C12" s="92">
        <v>103</v>
      </c>
      <c r="D12" s="93" t="s">
        <v>127</v>
      </c>
      <c r="E12" s="94" t="s">
        <v>128</v>
      </c>
      <c r="F12" s="95">
        <v>940428.39999999991</v>
      </c>
      <c r="G12" s="96">
        <f t="shared" si="1"/>
        <v>123740.57894736841</v>
      </c>
      <c r="H12" s="97">
        <f>F12/E2</f>
        <v>3.0935144736842102E-3</v>
      </c>
      <c r="I12" s="98">
        <f>41650+2380+4760+11900+2380+2380</f>
        <v>65450</v>
      </c>
      <c r="J12" s="98">
        <f t="shared" si="4"/>
        <v>8611.8421052631584</v>
      </c>
      <c r="K12" s="99">
        <f t="shared" si="2"/>
        <v>6.9595941594277677E-2</v>
      </c>
      <c r="L12" s="100">
        <f t="shared" si="3"/>
        <v>2.1529605263157894E-4</v>
      </c>
      <c r="M12" s="101"/>
      <c r="N12" s="55"/>
    </row>
    <row r="13" spans="2:14" x14ac:dyDescent="0.25">
      <c r="B13" s="91">
        <v>9</v>
      </c>
      <c r="C13" s="92">
        <v>28</v>
      </c>
      <c r="D13" s="93" t="s">
        <v>129</v>
      </c>
      <c r="E13" s="94" t="s">
        <v>130</v>
      </c>
      <c r="F13" s="95">
        <v>1442660.1</v>
      </c>
      <c r="G13" s="96">
        <f t="shared" si="1"/>
        <v>189823.69736842107</v>
      </c>
      <c r="H13" s="97">
        <f>F13/E2</f>
        <v>4.7455924342105268E-3</v>
      </c>
      <c r="I13" s="98">
        <f>1354428.78</f>
        <v>1354428.78</v>
      </c>
      <c r="J13" s="98">
        <f t="shared" si="4"/>
        <v>178214.31315789474</v>
      </c>
      <c r="K13" s="99">
        <f t="shared" si="2"/>
        <v>0.93884122808969339</v>
      </c>
      <c r="L13" s="100">
        <f t="shared" si="3"/>
        <v>4.4553578289473683E-3</v>
      </c>
      <c r="M13" s="101"/>
      <c r="N13" s="55"/>
    </row>
    <row r="14" spans="2:14" ht="25.5" x14ac:dyDescent="0.25">
      <c r="B14" s="91">
        <v>10</v>
      </c>
      <c r="C14" s="92">
        <v>79</v>
      </c>
      <c r="D14" s="93" t="s">
        <v>131</v>
      </c>
      <c r="E14" s="94" t="s">
        <v>132</v>
      </c>
      <c r="F14" s="95">
        <v>777688.37</v>
      </c>
      <c r="G14" s="96">
        <f t="shared" si="1"/>
        <v>102327.41710526316</v>
      </c>
      <c r="H14" s="97">
        <f>F14/E2</f>
        <v>2.5581854276315787E-3</v>
      </c>
      <c r="I14" s="98">
        <v>55250</v>
      </c>
      <c r="J14" s="98">
        <f t="shared" si="4"/>
        <v>7269.7368421052633</v>
      </c>
      <c r="K14" s="99">
        <f t="shared" si="2"/>
        <v>7.1043880982815777E-2</v>
      </c>
      <c r="L14" s="100">
        <f t="shared" si="3"/>
        <v>1.8174342105263159E-4</v>
      </c>
      <c r="M14" s="101"/>
      <c r="N14" s="55"/>
    </row>
    <row r="15" spans="2:14" ht="30" x14ac:dyDescent="0.25">
      <c r="B15" s="113">
        <v>11</v>
      </c>
      <c r="C15" s="114">
        <v>105</v>
      </c>
      <c r="D15" s="115" t="s">
        <v>2084</v>
      </c>
      <c r="E15" s="1019" t="s">
        <v>133</v>
      </c>
      <c r="F15" s="117">
        <v>2781414.7800000003</v>
      </c>
      <c r="G15" s="118">
        <f t="shared" si="1"/>
        <v>365975.62894736847</v>
      </c>
      <c r="H15" s="119">
        <f>F15/E2</f>
        <v>9.1493907236842118E-3</v>
      </c>
      <c r="I15" s="1020">
        <f>126354.78+42523.75+30420.56</f>
        <v>199299.09</v>
      </c>
      <c r="J15" s="1021">
        <f t="shared" si="4"/>
        <v>26223.564473684211</v>
      </c>
      <c r="K15" s="1022">
        <f t="shared" si="2"/>
        <v>7.1653854517879562E-2</v>
      </c>
      <c r="L15" s="1023">
        <f t="shared" si="3"/>
        <v>6.5558911184210528E-4</v>
      </c>
      <c r="M15" s="123" t="s">
        <v>224</v>
      </c>
      <c r="N15" s="55"/>
    </row>
    <row r="16" spans="2:14" x14ac:dyDescent="0.25">
      <c r="B16" s="102">
        <v>12</v>
      </c>
      <c r="C16" s="103">
        <v>108</v>
      </c>
      <c r="D16" s="104" t="s">
        <v>134</v>
      </c>
      <c r="E16" s="105" t="s">
        <v>135</v>
      </c>
      <c r="F16" s="106">
        <v>595983.94999999995</v>
      </c>
      <c r="G16" s="107">
        <f t="shared" si="1"/>
        <v>78418.94078947368</v>
      </c>
      <c r="H16" s="108">
        <f>F16/E2</f>
        <v>1.960473519736842E-3</v>
      </c>
      <c r="I16" s="87">
        <f>119196.79+458597.16+17000</f>
        <v>594793.94999999995</v>
      </c>
      <c r="J16" s="87">
        <f t="shared" si="4"/>
        <v>78262.361842105267</v>
      </c>
      <c r="K16" s="88">
        <f t="shared" si="2"/>
        <v>0.99800330193455711</v>
      </c>
      <c r="L16" s="89">
        <f t="shared" si="3"/>
        <v>1.9565590460526314E-3</v>
      </c>
      <c r="M16" s="109" t="s">
        <v>114</v>
      </c>
      <c r="N16" s="55"/>
    </row>
    <row r="17" spans="1:14" ht="25.5" x14ac:dyDescent="0.25">
      <c r="B17" s="91">
        <v>13</v>
      </c>
      <c r="C17" s="92">
        <v>86</v>
      </c>
      <c r="D17" s="93" t="s">
        <v>136</v>
      </c>
      <c r="E17" s="94" t="s">
        <v>137</v>
      </c>
      <c r="F17" s="95">
        <v>10907682.15</v>
      </c>
      <c r="G17" s="96">
        <f t="shared" si="1"/>
        <v>1435221.335526316</v>
      </c>
      <c r="H17" s="97">
        <f>F17/E2</f>
        <v>3.5880533388157894E-2</v>
      </c>
      <c r="I17" s="110">
        <f>2181536.43+7667293.37</f>
        <v>9848829.8000000007</v>
      </c>
      <c r="J17" s="98">
        <f t="shared" si="4"/>
        <v>1295898.6578947371</v>
      </c>
      <c r="K17" s="99">
        <f t="shared" si="2"/>
        <v>0.90292599881084734</v>
      </c>
      <c r="L17" s="100">
        <f t="shared" si="3"/>
        <v>3.2397466447368427E-2</v>
      </c>
      <c r="M17" s="100"/>
      <c r="N17" s="55"/>
    </row>
    <row r="18" spans="1:14" ht="25.5" x14ac:dyDescent="0.25">
      <c r="A18" s="1015"/>
      <c r="B18" s="102">
        <v>14</v>
      </c>
      <c r="C18" s="103">
        <v>15</v>
      </c>
      <c r="D18" s="104" t="s">
        <v>138</v>
      </c>
      <c r="E18" s="105" t="s">
        <v>139</v>
      </c>
      <c r="F18" s="1016">
        <v>9704074.4000000004</v>
      </c>
      <c r="G18" s="1017">
        <f t="shared" si="1"/>
        <v>1276851.8947368423</v>
      </c>
      <c r="H18" s="1018">
        <f>F18/E2</f>
        <v>3.1921297368421052E-2</v>
      </c>
      <c r="I18" s="87">
        <f>347140.58+36052.16+81094.26+165053.44+2336569.87+1988987.66+2368893.3+1134372.12+802341.15+50601.2+76095.69</f>
        <v>9387201.4299999997</v>
      </c>
      <c r="J18" s="87">
        <f t="shared" si="4"/>
        <v>1235158.0828947369</v>
      </c>
      <c r="K18" s="88">
        <f t="shared" si="2"/>
        <v>0.96734639936396194</v>
      </c>
      <c r="L18" s="89">
        <f t="shared" si="3"/>
        <v>3.0878952072368421E-2</v>
      </c>
      <c r="M18" s="90" t="s">
        <v>114</v>
      </c>
      <c r="N18" s="55"/>
    </row>
    <row r="19" spans="1:14" ht="25.5" x14ac:dyDescent="0.25">
      <c r="B19" s="91">
        <v>15</v>
      </c>
      <c r="C19" s="92">
        <v>85</v>
      </c>
      <c r="D19" s="93" t="s">
        <v>140</v>
      </c>
      <c r="E19" s="94" t="s">
        <v>141</v>
      </c>
      <c r="F19" s="95">
        <v>9827497.6500000004</v>
      </c>
      <c r="G19" s="96">
        <f t="shared" si="1"/>
        <v>1293091.7960526317</v>
      </c>
      <c r="H19" s="97">
        <f>F19/E2</f>
        <v>3.2327294901315792E-2</v>
      </c>
      <c r="I19" s="110">
        <f>260440+1965499.53</f>
        <v>2225939.5300000003</v>
      </c>
      <c r="J19" s="98">
        <f t="shared" si="4"/>
        <v>292886.78026315797</v>
      </c>
      <c r="K19" s="99">
        <f t="shared" si="2"/>
        <v>0.22650115108396898</v>
      </c>
      <c r="L19" s="100">
        <f t="shared" si="3"/>
        <v>7.322169506578948E-3</v>
      </c>
      <c r="M19" s="100"/>
      <c r="N19" s="55"/>
    </row>
    <row r="20" spans="1:14" ht="29.25" customHeight="1" x14ac:dyDescent="0.25">
      <c r="B20" s="91">
        <v>16</v>
      </c>
      <c r="C20" s="92">
        <v>26</v>
      </c>
      <c r="D20" s="93" t="s">
        <v>142</v>
      </c>
      <c r="E20" s="94" t="s">
        <v>143</v>
      </c>
      <c r="F20" s="95">
        <v>3585585.75</v>
      </c>
      <c r="G20" s="96">
        <f t="shared" si="1"/>
        <v>471787.59868421056</v>
      </c>
      <c r="H20" s="97">
        <f>F20/E2</f>
        <v>1.1794689967105263E-2</v>
      </c>
      <c r="I20" s="98">
        <f>717117.15+69627.16+55153.22+465570.68+435094.86+306709.73+318474.38+312189.6</f>
        <v>2679936.7799999998</v>
      </c>
      <c r="J20" s="98">
        <f t="shared" si="4"/>
        <v>352623.26052631577</v>
      </c>
      <c r="K20" s="99">
        <f t="shared" si="2"/>
        <v>0.74741951994872802</v>
      </c>
      <c r="L20" s="100">
        <f t="shared" si="3"/>
        <v>8.8155815131578941E-3</v>
      </c>
      <c r="M20" s="100"/>
      <c r="N20" s="55"/>
    </row>
    <row r="21" spans="1:14" s="111" customFormat="1" ht="31.5" customHeight="1" x14ac:dyDescent="0.25">
      <c r="B21" s="91">
        <v>17</v>
      </c>
      <c r="C21" s="92">
        <v>29</v>
      </c>
      <c r="D21" s="93" t="s">
        <v>144</v>
      </c>
      <c r="E21" s="94" t="s">
        <v>145</v>
      </c>
      <c r="F21" s="95">
        <v>4282483.66</v>
      </c>
      <c r="G21" s="96">
        <f t="shared" si="1"/>
        <v>563484.69210526324</v>
      </c>
      <c r="H21" s="97">
        <f>F21/E2</f>
        <v>1.4087117302631579E-2</v>
      </c>
      <c r="I21" s="98">
        <f>210783+76500+151550+419250.58+1380511.32+164939.56+1368865.66</f>
        <v>3772400.12</v>
      </c>
      <c r="J21" s="98">
        <f t="shared" si="4"/>
        <v>496368.43684210529</v>
      </c>
      <c r="K21" s="99">
        <f t="shared" si="2"/>
        <v>0.88089072125029422</v>
      </c>
      <c r="L21" s="100">
        <f t="shared" si="3"/>
        <v>1.2409210921052632E-2</v>
      </c>
      <c r="M21" s="100"/>
      <c r="N21" s="55"/>
    </row>
    <row r="22" spans="1:14" ht="26.25" customHeight="1" x14ac:dyDescent="0.25">
      <c r="B22" s="91">
        <v>18</v>
      </c>
      <c r="C22" s="92">
        <v>24</v>
      </c>
      <c r="D22" s="93" t="s">
        <v>146</v>
      </c>
      <c r="E22" s="94" t="s">
        <v>147</v>
      </c>
      <c r="F22" s="95">
        <v>443992.72</v>
      </c>
      <c r="G22" s="96">
        <f t="shared" si="1"/>
        <v>58420.094736842104</v>
      </c>
      <c r="H22" s="97">
        <f>F22/E2</f>
        <v>1.4605023684210526E-3</v>
      </c>
      <c r="I22" s="98">
        <f>12750+21250+3825+26754.2+22016.8+9750+56470.4+56448.6+182111.2</f>
        <v>391376.2</v>
      </c>
      <c r="J22" s="98">
        <f t="shared" si="4"/>
        <v>51496.868421052633</v>
      </c>
      <c r="K22" s="99">
        <f t="shared" si="2"/>
        <v>0.88149238122643103</v>
      </c>
      <c r="L22" s="100">
        <f t="shared" si="3"/>
        <v>1.2874217105263159E-3</v>
      </c>
      <c r="M22" s="100"/>
      <c r="N22" s="55"/>
    </row>
    <row r="23" spans="1:14" x14ac:dyDescent="0.25">
      <c r="B23" s="91">
        <v>19</v>
      </c>
      <c r="C23" s="92">
        <v>110</v>
      </c>
      <c r="D23" s="93" t="s">
        <v>148</v>
      </c>
      <c r="E23" s="94" t="s">
        <v>149</v>
      </c>
      <c r="F23" s="95">
        <v>1850411.15</v>
      </c>
      <c r="G23" s="96">
        <f t="shared" si="1"/>
        <v>243475.15131578947</v>
      </c>
      <c r="H23" s="97">
        <f>F23/E2</f>
        <v>6.0868787828947364E-3</v>
      </c>
      <c r="I23" s="110">
        <f>171590.35+12686.58+284855.86+674998.26+67801.07+7383.18</f>
        <v>1219315.3</v>
      </c>
      <c r="J23" s="98">
        <f t="shared" si="4"/>
        <v>160436.22368421053</v>
      </c>
      <c r="K23" s="99">
        <f t="shared" si="2"/>
        <v>0.65894290574286696</v>
      </c>
      <c r="L23" s="100">
        <f t="shared" si="3"/>
        <v>4.0109055921052636E-3</v>
      </c>
      <c r="M23" s="100"/>
      <c r="N23" s="55"/>
    </row>
    <row r="24" spans="1:14" s="112" customFormat="1" ht="38.25" x14ac:dyDescent="0.25">
      <c r="B24" s="102">
        <v>20</v>
      </c>
      <c r="C24" s="103">
        <v>45</v>
      </c>
      <c r="D24" s="104" t="s">
        <v>150</v>
      </c>
      <c r="E24" s="105" t="s">
        <v>151</v>
      </c>
      <c r="F24" s="106">
        <v>1590705.44</v>
      </c>
      <c r="G24" s="107">
        <f t="shared" si="1"/>
        <v>209303.34736842106</v>
      </c>
      <c r="H24" s="108">
        <f>F24/E2</f>
        <v>5.2325836842105258E-3</v>
      </c>
      <c r="I24" s="1251">
        <f xml:space="preserve"> 205496.53 + 429735.71+432670.57+85823.4+66094.21+301253.82+69631.2</f>
        <v>1590705.44</v>
      </c>
      <c r="J24" s="1251">
        <f t="shared" si="4"/>
        <v>209303.34736842106</v>
      </c>
      <c r="K24" s="1252">
        <f t="shared" si="2"/>
        <v>1</v>
      </c>
      <c r="L24" s="1253">
        <f>I24/304000000</f>
        <v>5.2325836842105258E-3</v>
      </c>
      <c r="M24" s="1254" t="s">
        <v>114</v>
      </c>
      <c r="N24" s="55"/>
    </row>
    <row r="25" spans="1:14" ht="25.5" x14ac:dyDescent="0.25">
      <c r="B25" s="102">
        <v>21</v>
      </c>
      <c r="C25" s="103">
        <v>125</v>
      </c>
      <c r="D25" s="104" t="s">
        <v>152</v>
      </c>
      <c r="E25" s="105" t="s">
        <v>153</v>
      </c>
      <c r="F25" s="106">
        <v>2124549.7800000003</v>
      </c>
      <c r="G25" s="107">
        <f t="shared" si="1"/>
        <v>279546.02368421055</v>
      </c>
      <c r="H25" s="108">
        <f>F25/E2</f>
        <v>6.988650592105264E-3</v>
      </c>
      <c r="I25" s="86">
        <f>78924.37+424725.3+787949.37+465781.95+65583.89+198634.31+12964.89</f>
        <v>2034564.0799999998</v>
      </c>
      <c r="J25" s="87">
        <f t="shared" si="4"/>
        <v>267705.8</v>
      </c>
      <c r="K25" s="88">
        <f t="shared" si="2"/>
        <v>0.9576448145168901</v>
      </c>
      <c r="L25" s="89">
        <f t="shared" si="3"/>
        <v>6.6926449999999997E-3</v>
      </c>
      <c r="M25" s="90" t="s">
        <v>114</v>
      </c>
      <c r="N25" s="55"/>
    </row>
    <row r="26" spans="1:14" ht="25.5" x14ac:dyDescent="0.25">
      <c r="B26" s="91">
        <v>22</v>
      </c>
      <c r="C26" s="92">
        <v>53</v>
      </c>
      <c r="D26" s="93" t="s">
        <v>154</v>
      </c>
      <c r="E26" s="94" t="s">
        <v>155</v>
      </c>
      <c r="F26" s="95">
        <v>20000000</v>
      </c>
      <c r="G26" s="96">
        <f t="shared" si="1"/>
        <v>2631578.9473684211</v>
      </c>
      <c r="H26" s="97">
        <f>F26/E2</f>
        <v>6.5789473684210523E-2</v>
      </c>
      <c r="I26" s="98">
        <f>185140.44+405450.91+2432399.06+1771332.04+2272298.83+1265370.1+756392.46+503735.44+759734.83+525678.99+823294.93+965741.94+1232164.97+773589.11+992951.81+389879.55+984827.24+255744.79</f>
        <v>17295727.439999998</v>
      </c>
      <c r="J26" s="98">
        <f t="shared" si="4"/>
        <v>2275753.6105263154</v>
      </c>
      <c r="K26" s="99">
        <f t="shared" si="2"/>
        <v>0.86478637199999986</v>
      </c>
      <c r="L26" s="100">
        <f t="shared" si="3"/>
        <v>5.6893840263157885E-2</v>
      </c>
      <c r="M26" s="100"/>
      <c r="N26" s="55"/>
    </row>
    <row r="27" spans="1:14" ht="25.5" x14ac:dyDescent="0.25">
      <c r="B27" s="102">
        <v>23</v>
      </c>
      <c r="C27" s="103">
        <v>58</v>
      </c>
      <c r="D27" s="104" t="s">
        <v>156</v>
      </c>
      <c r="E27" s="105" t="s">
        <v>157</v>
      </c>
      <c r="F27" s="106">
        <v>522282.05</v>
      </c>
      <c r="G27" s="107">
        <f t="shared" si="1"/>
        <v>68721.322368421053</v>
      </c>
      <c r="H27" s="108">
        <f>F27/E2</f>
        <v>1.7180330592105263E-3</v>
      </c>
      <c r="I27" s="87">
        <f>6290+377724.2+95634.14</f>
        <v>479648.34</v>
      </c>
      <c r="J27" s="87">
        <f t="shared" si="4"/>
        <v>63111.623684210535</v>
      </c>
      <c r="K27" s="88">
        <f t="shared" si="2"/>
        <v>0.91837033265837886</v>
      </c>
      <c r="L27" s="89">
        <f t="shared" si="3"/>
        <v>1.5777905921052632E-3</v>
      </c>
      <c r="M27" s="90" t="s">
        <v>114</v>
      </c>
      <c r="N27" s="55"/>
    </row>
    <row r="28" spans="1:14" ht="25.5" x14ac:dyDescent="0.25">
      <c r="B28" s="91">
        <v>24</v>
      </c>
      <c r="C28" s="92">
        <v>89</v>
      </c>
      <c r="D28" s="93" t="s">
        <v>158</v>
      </c>
      <c r="E28" s="94" t="s">
        <v>159</v>
      </c>
      <c r="F28" s="95">
        <v>2475940.38</v>
      </c>
      <c r="G28" s="96">
        <f t="shared" si="1"/>
        <v>325781.62894736842</v>
      </c>
      <c r="H28" s="97">
        <f>F28/E2</f>
        <v>8.1445407236842102E-3</v>
      </c>
      <c r="I28" s="98">
        <f>273133.34+107666.66+140641.74+14902.75+19125+59797.5+731570.47+374625+35609.87</f>
        <v>1757072.33</v>
      </c>
      <c r="J28" s="98">
        <f t="shared" si="4"/>
        <v>231193.72763157898</v>
      </c>
      <c r="K28" s="99">
        <f t="shared" si="2"/>
        <v>0.70965857828935286</v>
      </c>
      <c r="L28" s="100">
        <f t="shared" si="3"/>
        <v>5.7798431907894743E-3</v>
      </c>
      <c r="M28" s="100"/>
      <c r="N28" s="55"/>
    </row>
    <row r="29" spans="1:14" ht="25.5" x14ac:dyDescent="0.25">
      <c r="B29" s="102">
        <v>25</v>
      </c>
      <c r="C29" s="103">
        <v>91</v>
      </c>
      <c r="D29" s="104" t="s">
        <v>160</v>
      </c>
      <c r="E29" s="105" t="s">
        <v>161</v>
      </c>
      <c r="F29" s="106">
        <v>363841.16</v>
      </c>
      <c r="G29" s="107">
        <f t="shared" si="1"/>
        <v>47873.836842105266</v>
      </c>
      <c r="H29" s="108">
        <f>F29/E2</f>
        <v>1.1968459210526315E-3</v>
      </c>
      <c r="I29" s="87">
        <f>765+159531.1</f>
        <v>160296.1</v>
      </c>
      <c r="J29" s="87">
        <f t="shared" si="4"/>
        <v>21091.59210526316</v>
      </c>
      <c r="K29" s="88">
        <f t="shared" si="2"/>
        <v>0.44056615254854625</v>
      </c>
      <c r="L29" s="89">
        <f t="shared" si="3"/>
        <v>5.2728980263157894E-4</v>
      </c>
      <c r="M29" s="90" t="s">
        <v>114</v>
      </c>
      <c r="N29" s="55"/>
    </row>
    <row r="30" spans="1:14" ht="25.5" x14ac:dyDescent="0.25">
      <c r="B30" s="102">
        <v>26</v>
      </c>
      <c r="C30" s="103">
        <v>97</v>
      </c>
      <c r="D30" s="104" t="s">
        <v>162</v>
      </c>
      <c r="E30" s="105" t="s">
        <v>163</v>
      </c>
      <c r="F30" s="106">
        <v>7696600</v>
      </c>
      <c r="G30" s="107">
        <f t="shared" si="1"/>
        <v>1012710.5263157896</v>
      </c>
      <c r="H30" s="108">
        <f>F30/E2</f>
        <v>2.5317763157894736E-2</v>
      </c>
      <c r="I30" s="86">
        <f>382500+6844075.1+341526</f>
        <v>7568101.0999999996</v>
      </c>
      <c r="J30" s="87">
        <f t="shared" si="4"/>
        <v>995802.77631578944</v>
      </c>
      <c r="K30" s="88">
        <f t="shared" si="2"/>
        <v>0.98330445911181552</v>
      </c>
      <c r="L30" s="89">
        <f t="shared" si="3"/>
        <v>2.4895069407894734E-2</v>
      </c>
      <c r="M30" s="90" t="s">
        <v>114</v>
      </c>
      <c r="N30" s="55"/>
    </row>
    <row r="31" spans="1:14" ht="30" x14ac:dyDescent="0.25">
      <c r="B31" s="113">
        <v>27</v>
      </c>
      <c r="C31" s="114">
        <v>63</v>
      </c>
      <c r="D31" s="115" t="s">
        <v>164</v>
      </c>
      <c r="E31" s="116" t="s">
        <v>165</v>
      </c>
      <c r="F31" s="117">
        <v>3554040.35</v>
      </c>
      <c r="G31" s="118">
        <f t="shared" si="1"/>
        <v>467636.88815789478</v>
      </c>
      <c r="H31" s="119">
        <f>F31/E2</f>
        <v>1.1690922203947369E-2</v>
      </c>
      <c r="I31" s="120">
        <v>0</v>
      </c>
      <c r="J31" s="120">
        <f t="shared" si="4"/>
        <v>0</v>
      </c>
      <c r="K31" s="121">
        <f t="shared" si="2"/>
        <v>0</v>
      </c>
      <c r="L31" s="122">
        <f t="shared" si="3"/>
        <v>0</v>
      </c>
      <c r="M31" s="123" t="s">
        <v>166</v>
      </c>
      <c r="N31" s="123" t="s">
        <v>705</v>
      </c>
    </row>
    <row r="32" spans="1:14" ht="28.5" customHeight="1" x14ac:dyDescent="0.25">
      <c r="B32" s="102">
        <v>28</v>
      </c>
      <c r="C32" s="103">
        <v>68</v>
      </c>
      <c r="D32" s="104" t="s">
        <v>167</v>
      </c>
      <c r="E32" s="105" t="s">
        <v>168</v>
      </c>
      <c r="F32" s="106">
        <v>7169008.9100000001</v>
      </c>
      <c r="G32" s="107">
        <f t="shared" si="1"/>
        <v>943290.64605263167</v>
      </c>
      <c r="H32" s="108">
        <f>F32/E2</f>
        <v>2.3582266151315791E-2</v>
      </c>
      <c r="I32" s="87">
        <f>193375+2797163.55+1681291.95+519163.85+104125+1299258.36+324814.59</f>
        <v>6919192.2999999998</v>
      </c>
      <c r="J32" s="87">
        <f t="shared" si="4"/>
        <v>910420.03947368427</v>
      </c>
      <c r="K32" s="88">
        <f t="shared" si="2"/>
        <v>0.96515325714667022</v>
      </c>
      <c r="L32" s="89">
        <f t="shared" si="3"/>
        <v>2.2760500986842104E-2</v>
      </c>
      <c r="M32" s="90" t="s">
        <v>114</v>
      </c>
      <c r="N32" s="55"/>
    </row>
    <row r="33" spans="1:14" ht="25.5" x14ac:dyDescent="0.25">
      <c r="B33" s="91">
        <v>29</v>
      </c>
      <c r="C33" s="92">
        <v>113</v>
      </c>
      <c r="D33" s="93" t="s">
        <v>169</v>
      </c>
      <c r="E33" s="94" t="s">
        <v>170</v>
      </c>
      <c r="F33" s="95">
        <v>3473987.18</v>
      </c>
      <c r="G33" s="96">
        <f t="shared" si="1"/>
        <v>457103.57631578954</v>
      </c>
      <c r="H33" s="97">
        <f>F33/E2</f>
        <v>1.1427589407894737E-2</v>
      </c>
      <c r="I33" s="98">
        <f>694700+565903.16+429580.55+910554.74+46226.49+559657.2</f>
        <v>3206622.1400000006</v>
      </c>
      <c r="J33" s="98">
        <f t="shared" si="4"/>
        <v>421923.96578947379</v>
      </c>
      <c r="K33" s="99">
        <f t="shared" si="2"/>
        <v>0.92303798887363786</v>
      </c>
      <c r="L33" s="100">
        <f t="shared" si="3"/>
        <v>1.0548099144736844E-2</v>
      </c>
      <c r="M33" s="100"/>
      <c r="N33" s="55"/>
    </row>
    <row r="34" spans="1:14" ht="25.5" x14ac:dyDescent="0.25">
      <c r="B34" s="102">
        <v>30</v>
      </c>
      <c r="C34" s="103">
        <v>18</v>
      </c>
      <c r="D34" s="104" t="s">
        <v>171</v>
      </c>
      <c r="E34" s="105" t="s">
        <v>172</v>
      </c>
      <c r="F34" s="106">
        <v>5892307.7699999996</v>
      </c>
      <c r="G34" s="107">
        <f t="shared" si="1"/>
        <v>775303.65394736838</v>
      </c>
      <c r="H34" s="108">
        <f>F34/E2</f>
        <v>1.9382591348684208E-2</v>
      </c>
      <c r="I34" s="87">
        <f>121762.5+2931510+1690741.78+827584.22+25075+705.5</f>
        <v>5597379</v>
      </c>
      <c r="J34" s="87">
        <f t="shared" si="4"/>
        <v>736497.23684210528</v>
      </c>
      <c r="K34" s="88">
        <f t="shared" si="2"/>
        <v>0.9499468151508319</v>
      </c>
      <c r="L34" s="89">
        <f t="shared" si="3"/>
        <v>1.841243092105263E-2</v>
      </c>
      <c r="M34" s="90" t="s">
        <v>114</v>
      </c>
      <c r="N34" s="55"/>
    </row>
    <row r="35" spans="1:14" s="111" customFormat="1" ht="25.5" x14ac:dyDescent="0.25">
      <c r="B35" s="102">
        <v>31</v>
      </c>
      <c r="C35" s="103">
        <v>71</v>
      </c>
      <c r="D35" s="104" t="s">
        <v>173</v>
      </c>
      <c r="E35" s="105" t="s">
        <v>174</v>
      </c>
      <c r="F35" s="106">
        <v>1606116.2</v>
      </c>
      <c r="G35" s="107">
        <f t="shared" si="1"/>
        <v>211331.07894736843</v>
      </c>
      <c r="H35" s="108">
        <f>F35/E2</f>
        <v>5.2832769736842105E-3</v>
      </c>
      <c r="I35" s="87">
        <f>1512053+44625</f>
        <v>1556678</v>
      </c>
      <c r="J35" s="87">
        <f t="shared" si="4"/>
        <v>204826.05263157896</v>
      </c>
      <c r="K35" s="88">
        <f t="shared" si="2"/>
        <v>0.96921879002278921</v>
      </c>
      <c r="L35" s="124">
        <f t="shared" si="3"/>
        <v>5.1206513157894739E-3</v>
      </c>
      <c r="M35" s="109" t="s">
        <v>114</v>
      </c>
      <c r="N35" s="55"/>
    </row>
    <row r="36" spans="1:14" ht="18" customHeight="1" x14ac:dyDescent="0.25">
      <c r="B36" s="102">
        <v>32</v>
      </c>
      <c r="C36" s="103">
        <v>106</v>
      </c>
      <c r="D36" s="104" t="s">
        <v>175</v>
      </c>
      <c r="E36" s="105" t="s">
        <v>176</v>
      </c>
      <c r="F36" s="106">
        <v>615150</v>
      </c>
      <c r="G36" s="107">
        <f t="shared" si="1"/>
        <v>80940.789473684214</v>
      </c>
      <c r="H36" s="108">
        <f>F36/E2</f>
        <v>2.0235197368421052E-3</v>
      </c>
      <c r="I36" s="87">
        <f>469002+16830+110296</f>
        <v>596128</v>
      </c>
      <c r="J36" s="87">
        <f t="shared" si="4"/>
        <v>78437.894736842107</v>
      </c>
      <c r="K36" s="88">
        <f t="shared" si="2"/>
        <v>0.96907746078192314</v>
      </c>
      <c r="L36" s="89">
        <f t="shared" si="3"/>
        <v>1.9609473684210526E-3</v>
      </c>
      <c r="M36" s="90" t="s">
        <v>114</v>
      </c>
      <c r="N36" s="55"/>
    </row>
    <row r="37" spans="1:14" x14ac:dyDescent="0.25">
      <c r="B37" s="91">
        <v>33</v>
      </c>
      <c r="C37" s="92">
        <v>49</v>
      </c>
      <c r="D37" s="93" t="s">
        <v>177</v>
      </c>
      <c r="E37" s="94" t="s">
        <v>178</v>
      </c>
      <c r="F37" s="95">
        <v>2809181.2</v>
      </c>
      <c r="G37" s="96">
        <f t="shared" si="1"/>
        <v>369629.10526315792</v>
      </c>
      <c r="H37" s="97">
        <f>F37/E2</f>
        <v>9.2407276315789478E-3</v>
      </c>
      <c r="I37" s="98"/>
      <c r="J37" s="98">
        <f t="shared" si="4"/>
        <v>0</v>
      </c>
      <c r="K37" s="99">
        <f t="shared" si="2"/>
        <v>0</v>
      </c>
      <c r="L37" s="100">
        <f t="shared" si="3"/>
        <v>0</v>
      </c>
      <c r="M37" s="100"/>
      <c r="N37" s="55"/>
    </row>
    <row r="38" spans="1:14" ht="25.5" x14ac:dyDescent="0.25">
      <c r="B38" s="91">
        <v>34</v>
      </c>
      <c r="C38" s="92">
        <v>65</v>
      </c>
      <c r="D38" s="93" t="s">
        <v>179</v>
      </c>
      <c r="E38" s="94" t="s">
        <v>180</v>
      </c>
      <c r="F38" s="95">
        <v>1497268.43</v>
      </c>
      <c r="G38" s="96">
        <f t="shared" si="1"/>
        <v>197009.00394736842</v>
      </c>
      <c r="H38" s="97">
        <f>F38/E2</f>
        <v>4.9252250986842102E-3</v>
      </c>
      <c r="I38" s="98">
        <f>88400+730374.75+520878.72+32700+47600</f>
        <v>1419953.47</v>
      </c>
      <c r="J38" s="98">
        <f t="shared" si="4"/>
        <v>186835.98289473684</v>
      </c>
      <c r="K38" s="99">
        <f t="shared" si="2"/>
        <v>0.94836265932622388</v>
      </c>
      <c r="L38" s="100">
        <f t="shared" si="3"/>
        <v>4.6708995723684209E-3</v>
      </c>
      <c r="M38" s="100"/>
      <c r="N38" s="55"/>
    </row>
    <row r="39" spans="1:14" ht="25.5" x14ac:dyDescent="0.25">
      <c r="A39" s="125"/>
      <c r="B39" s="102">
        <v>35</v>
      </c>
      <c r="C39" s="103">
        <v>81</v>
      </c>
      <c r="D39" s="104" t="s">
        <v>181</v>
      </c>
      <c r="E39" s="105" t="s">
        <v>182</v>
      </c>
      <c r="F39" s="106">
        <v>2292312.27</v>
      </c>
      <c r="G39" s="107">
        <f t="shared" si="1"/>
        <v>301620.0355263158</v>
      </c>
      <c r="H39" s="108">
        <f>F39/E2</f>
        <v>7.5405008881578948E-3</v>
      </c>
      <c r="I39" s="87">
        <f>104975+1386010.4+389380+313963.64+56525</f>
        <v>2250854.04</v>
      </c>
      <c r="J39" s="87">
        <f t="shared" si="4"/>
        <v>296165.00526315789</v>
      </c>
      <c r="K39" s="88">
        <f t="shared" si="2"/>
        <v>0.98191423108335929</v>
      </c>
      <c r="L39" s="89">
        <f t="shared" si="3"/>
        <v>7.4041251315789475E-3</v>
      </c>
      <c r="M39" s="90" t="s">
        <v>114</v>
      </c>
      <c r="N39" s="55"/>
    </row>
    <row r="40" spans="1:14" s="111" customFormat="1" ht="28.5" customHeight="1" x14ac:dyDescent="0.25">
      <c r="B40" s="102">
        <v>36</v>
      </c>
      <c r="C40" s="103">
        <v>78</v>
      </c>
      <c r="D40" s="104" t="s">
        <v>183</v>
      </c>
      <c r="E40" s="105" t="s">
        <v>184</v>
      </c>
      <c r="F40" s="106">
        <v>2367215.04</v>
      </c>
      <c r="G40" s="107">
        <f t="shared" si="1"/>
        <v>311475.66315789474</v>
      </c>
      <c r="H40" s="108">
        <f>F40/E2</f>
        <v>7.7868915789473681E-3</v>
      </c>
      <c r="I40" s="86">
        <f>80112.5+1937360.6+48187.5+43137.5</f>
        <v>2108798.1</v>
      </c>
      <c r="J40" s="87">
        <f t="shared" si="4"/>
        <v>277473.43421052635</v>
      </c>
      <c r="K40" s="88">
        <f t="shared" si="2"/>
        <v>0.89083503795244556</v>
      </c>
      <c r="L40" s="89">
        <f t="shared" si="3"/>
        <v>6.9368358552631586E-3</v>
      </c>
      <c r="M40" s="90" t="s">
        <v>114</v>
      </c>
      <c r="N40" s="55"/>
    </row>
    <row r="41" spans="1:14" s="55" customFormat="1" ht="18" customHeight="1" x14ac:dyDescent="0.25">
      <c r="B41" s="102">
        <v>37</v>
      </c>
      <c r="C41" s="103">
        <v>123</v>
      </c>
      <c r="D41" s="104" t="s">
        <v>185</v>
      </c>
      <c r="E41" s="105" t="s">
        <v>186</v>
      </c>
      <c r="F41" s="106">
        <v>2514426.58</v>
      </c>
      <c r="G41" s="107">
        <f t="shared" si="1"/>
        <v>330845.60263157898</v>
      </c>
      <c r="H41" s="108">
        <f>F41/E2</f>
        <v>8.2711400657894743E-3</v>
      </c>
      <c r="I41" s="87">
        <f>326925.01+409268.98+462520.72+818072.64+464335.98</f>
        <v>2481123.33</v>
      </c>
      <c r="J41" s="87">
        <f t="shared" si="4"/>
        <v>326463.59605263162</v>
      </c>
      <c r="K41" s="88">
        <f t="shared" si="2"/>
        <v>0.98675513126336745</v>
      </c>
      <c r="L41" s="89">
        <f t="shared" si="3"/>
        <v>8.1615899013157897E-3</v>
      </c>
      <c r="M41" s="90" t="s">
        <v>114</v>
      </c>
    </row>
    <row r="42" spans="1:14" s="111" customFormat="1" ht="25.5" x14ac:dyDescent="0.25">
      <c r="B42" s="91">
        <v>38</v>
      </c>
      <c r="C42" s="92">
        <v>126</v>
      </c>
      <c r="D42" s="93" t="s">
        <v>187</v>
      </c>
      <c r="E42" s="94" t="s">
        <v>188</v>
      </c>
      <c r="F42" s="95">
        <v>2125914.94</v>
      </c>
      <c r="G42" s="96">
        <f t="shared" si="1"/>
        <v>279725.65000000002</v>
      </c>
      <c r="H42" s="97">
        <f>F42/E2</f>
        <v>6.9931412499999995E-3</v>
      </c>
      <c r="I42" s="98">
        <v>128987.5</v>
      </c>
      <c r="J42" s="98">
        <f t="shared" si="4"/>
        <v>16972.03947368421</v>
      </c>
      <c r="K42" s="99">
        <f t="shared" si="2"/>
        <v>6.0673876255839289E-2</v>
      </c>
      <c r="L42" s="100">
        <f t="shared" si="3"/>
        <v>4.2430098684210528E-4</v>
      </c>
      <c r="M42" s="100"/>
      <c r="N42" s="55"/>
    </row>
    <row r="43" spans="1:14" ht="27.75" customHeight="1" x14ac:dyDescent="0.25">
      <c r="B43" s="91">
        <v>39</v>
      </c>
      <c r="C43" s="92">
        <v>80</v>
      </c>
      <c r="D43" s="93" t="s">
        <v>189</v>
      </c>
      <c r="E43" s="94" t="s">
        <v>190</v>
      </c>
      <c r="F43" s="95">
        <v>1216650.75</v>
      </c>
      <c r="G43" s="96">
        <f t="shared" si="1"/>
        <v>160085.625</v>
      </c>
      <c r="H43" s="97">
        <f>F43/E2</f>
        <v>4.0021406250000001E-3</v>
      </c>
      <c r="I43" s="98">
        <v>72930</v>
      </c>
      <c r="J43" s="98">
        <f t="shared" si="4"/>
        <v>9596.0526315789484</v>
      </c>
      <c r="K43" s="99">
        <f t="shared" si="2"/>
        <v>5.9943249942516375E-2</v>
      </c>
      <c r="L43" s="100">
        <f t="shared" si="3"/>
        <v>2.3990131578947369E-4</v>
      </c>
      <c r="M43" s="100"/>
      <c r="N43" s="55"/>
    </row>
    <row r="44" spans="1:14" ht="25.5" x14ac:dyDescent="0.25">
      <c r="B44" s="102">
        <v>40</v>
      </c>
      <c r="C44" s="103">
        <v>87</v>
      </c>
      <c r="D44" s="104" t="s">
        <v>191</v>
      </c>
      <c r="E44" s="105" t="s">
        <v>192</v>
      </c>
      <c r="F44" s="106">
        <v>6449164.7999999998</v>
      </c>
      <c r="G44" s="107">
        <f t="shared" si="1"/>
        <v>848574.31578947371</v>
      </c>
      <c r="H44" s="108">
        <f>F44/E2</f>
        <v>2.121435789473684E-2</v>
      </c>
      <c r="I44" s="87">
        <f>1289832.96+302829.79+974029.49+2410140.91+1463160.75</f>
        <v>6439993.9000000004</v>
      </c>
      <c r="J44" s="87">
        <f t="shared" si="4"/>
        <v>847367.6184210527</v>
      </c>
      <c r="K44" s="88">
        <f t="shared" si="2"/>
        <v>0.99857797090252687</v>
      </c>
      <c r="L44" s="89">
        <f t="shared" si="3"/>
        <v>2.1184190460526317E-2</v>
      </c>
      <c r="M44" s="1207" t="s">
        <v>114</v>
      </c>
      <c r="N44" s="55"/>
    </row>
    <row r="45" spans="1:14" ht="25.5" x14ac:dyDescent="0.25">
      <c r="B45" s="102">
        <v>41</v>
      </c>
      <c r="C45" s="103">
        <v>127</v>
      </c>
      <c r="D45" s="104" t="s">
        <v>193</v>
      </c>
      <c r="E45" s="105" t="s">
        <v>194</v>
      </c>
      <c r="F45" s="106">
        <v>653871.31000000006</v>
      </c>
      <c r="G45" s="107">
        <f t="shared" si="1"/>
        <v>86035.69868421054</v>
      </c>
      <c r="H45" s="108">
        <f>F45/E2</f>
        <v>2.1508924671052635E-3</v>
      </c>
      <c r="I45" s="87">
        <f>2443.68+511424.28+105100.82</f>
        <v>618968.78</v>
      </c>
      <c r="J45" s="87">
        <f t="shared" si="4"/>
        <v>81443.260526315804</v>
      </c>
      <c r="K45" s="88">
        <f t="shared" si="2"/>
        <v>0.9466217136824675</v>
      </c>
      <c r="L45" s="89">
        <f t="shared" si="3"/>
        <v>2.036081513157895E-3</v>
      </c>
      <c r="M45" s="89" t="s">
        <v>114</v>
      </c>
      <c r="N45" s="55"/>
    </row>
    <row r="46" spans="1:14" ht="25.5" x14ac:dyDescent="0.25">
      <c r="B46" s="102">
        <v>42</v>
      </c>
      <c r="C46" s="103">
        <v>17</v>
      </c>
      <c r="D46" s="104" t="s">
        <v>195</v>
      </c>
      <c r="E46" s="105" t="s">
        <v>196</v>
      </c>
      <c r="F46" s="106">
        <v>861887.52</v>
      </c>
      <c r="G46" s="107">
        <f t="shared" si="1"/>
        <v>113406.25263157896</v>
      </c>
      <c r="H46" s="108">
        <f>F46/E2</f>
        <v>2.8351563157894737E-3</v>
      </c>
      <c r="I46" s="87">
        <f>26180+172377.5+850+483677.88+150133.74+11891.5</f>
        <v>845110.62</v>
      </c>
      <c r="J46" s="87">
        <f t="shared" si="4"/>
        <v>111198.76578947369</v>
      </c>
      <c r="K46" s="88">
        <f t="shared" si="2"/>
        <v>0.98053469900573564</v>
      </c>
      <c r="L46" s="89">
        <f t="shared" si="3"/>
        <v>2.7799691447368421E-3</v>
      </c>
      <c r="M46" s="89" t="s">
        <v>114</v>
      </c>
      <c r="N46" s="55"/>
    </row>
    <row r="47" spans="1:14" x14ac:dyDescent="0.25">
      <c r="B47" s="91">
        <v>43</v>
      </c>
      <c r="C47" s="92">
        <v>21</v>
      </c>
      <c r="D47" s="93" t="s">
        <v>197</v>
      </c>
      <c r="E47" s="94" t="s">
        <v>198</v>
      </c>
      <c r="F47" s="95">
        <v>2201170.91</v>
      </c>
      <c r="G47" s="96">
        <f t="shared" si="1"/>
        <v>289627.75131578953</v>
      </c>
      <c r="H47" s="97">
        <f>F47/E2</f>
        <v>7.2406937828947372E-3</v>
      </c>
      <c r="I47" s="110">
        <f>16991.5+12702.77+58969.44+99118.66+299889.48+17613.88</f>
        <v>505285.73</v>
      </c>
      <c r="J47" s="98">
        <f t="shared" si="4"/>
        <v>66484.964473684217</v>
      </c>
      <c r="K47" s="99">
        <f t="shared" si="2"/>
        <v>0.22955315632442186</v>
      </c>
      <c r="L47" s="100">
        <f t="shared" si="3"/>
        <v>1.6621241118421053E-3</v>
      </c>
      <c r="M47" s="100"/>
      <c r="N47" s="55"/>
    </row>
    <row r="48" spans="1:14" x14ac:dyDescent="0.25">
      <c r="B48" s="102">
        <v>44</v>
      </c>
      <c r="C48" s="103">
        <v>122</v>
      </c>
      <c r="D48" s="104" t="s">
        <v>199</v>
      </c>
      <c r="E48" s="105" t="s">
        <v>200</v>
      </c>
      <c r="F48" s="106">
        <v>692602.53</v>
      </c>
      <c r="G48" s="107">
        <f t="shared" si="1"/>
        <v>91131.91184210527</v>
      </c>
      <c r="H48" s="108">
        <f>F48/E2</f>
        <v>2.2782977960526317E-3</v>
      </c>
      <c r="I48" s="87">
        <f>38080+9775+196444.86+75326.87+265553.86+85037.71</f>
        <v>670218.29999999993</v>
      </c>
      <c r="J48" s="87">
        <f t="shared" si="4"/>
        <v>88186.618421052626</v>
      </c>
      <c r="K48" s="88">
        <f t="shared" si="2"/>
        <v>0.96768098724675455</v>
      </c>
      <c r="L48" s="89">
        <f t="shared" si="3"/>
        <v>2.2046654605263156E-3</v>
      </c>
      <c r="M48" s="89" t="s">
        <v>114</v>
      </c>
      <c r="N48" s="55"/>
    </row>
    <row r="49" spans="1:14" ht="29.25" customHeight="1" x14ac:dyDescent="0.25">
      <c r="B49" s="102">
        <v>45</v>
      </c>
      <c r="C49" s="103">
        <v>120</v>
      </c>
      <c r="D49" s="104" t="s">
        <v>201</v>
      </c>
      <c r="E49" s="105" t="s">
        <v>202</v>
      </c>
      <c r="F49" s="106">
        <v>438650.60000000003</v>
      </c>
      <c r="G49" s="107">
        <f t="shared" si="1"/>
        <v>57717.18421052632</v>
      </c>
      <c r="H49" s="108">
        <f>F49/E2</f>
        <v>1.4429296052631581E-3</v>
      </c>
      <c r="I49" s="87">
        <f>49725+362112.2+26775</f>
        <v>438612.2</v>
      </c>
      <c r="J49" s="87">
        <f t="shared" si="4"/>
        <v>57712.131578947374</v>
      </c>
      <c r="K49" s="88">
        <f t="shared" si="2"/>
        <v>0.99991245879978274</v>
      </c>
      <c r="L49" s="89">
        <f t="shared" si="3"/>
        <v>1.4428032894736843E-3</v>
      </c>
      <c r="M49" s="89" t="s">
        <v>114</v>
      </c>
      <c r="N49" s="55"/>
    </row>
    <row r="50" spans="1:14" ht="25.5" x14ac:dyDescent="0.25">
      <c r="B50" s="91">
        <v>46</v>
      </c>
      <c r="C50" s="92">
        <v>75</v>
      </c>
      <c r="D50" s="93" t="s">
        <v>203</v>
      </c>
      <c r="E50" s="94" t="s">
        <v>204</v>
      </c>
      <c r="F50" s="95">
        <v>1674322.8399999999</v>
      </c>
      <c r="G50" s="96">
        <f t="shared" si="1"/>
        <v>220305.63684210525</v>
      </c>
      <c r="H50" s="97">
        <f>F50/E2</f>
        <v>5.5076409210526311E-3</v>
      </c>
      <c r="I50" s="98">
        <f>99450+1192752.6+42600+53550</f>
        <v>1388352.6</v>
      </c>
      <c r="J50" s="98">
        <f t="shared" si="4"/>
        <v>182677.97368421053</v>
      </c>
      <c r="K50" s="99">
        <f t="shared" si="2"/>
        <v>0.82920244939142096</v>
      </c>
      <c r="L50" s="100">
        <f t="shared" si="3"/>
        <v>4.5669493421052632E-3</v>
      </c>
      <c r="M50" s="100"/>
      <c r="N50" s="55"/>
    </row>
    <row r="51" spans="1:14" ht="25.5" x14ac:dyDescent="0.25">
      <c r="A51" s="125"/>
      <c r="B51" s="102">
        <v>47</v>
      </c>
      <c r="C51" s="103">
        <v>129</v>
      </c>
      <c r="D51" s="104" t="s">
        <v>205</v>
      </c>
      <c r="E51" s="105" t="s">
        <v>206</v>
      </c>
      <c r="F51" s="106">
        <v>1546754.75</v>
      </c>
      <c r="G51" s="107">
        <f t="shared" si="1"/>
        <v>203520.36184210528</v>
      </c>
      <c r="H51" s="108">
        <f>F51/E2</f>
        <v>5.0880090460526314E-3</v>
      </c>
      <c r="I51" s="126">
        <f>29325+44522.12+33320+92194.74+589948.77+658613.64+40357.12</f>
        <v>1488281.3900000001</v>
      </c>
      <c r="J51" s="87">
        <f t="shared" si="4"/>
        <v>195826.49868421056</v>
      </c>
      <c r="K51" s="88">
        <f t="shared" si="2"/>
        <v>0.96219610122419219</v>
      </c>
      <c r="L51" s="89">
        <f t="shared" si="3"/>
        <v>4.8956624671052636E-3</v>
      </c>
      <c r="M51" s="89" t="s">
        <v>114</v>
      </c>
      <c r="N51" s="55"/>
    </row>
    <row r="52" spans="1:14" ht="27.75" customHeight="1" x14ac:dyDescent="0.25">
      <c r="B52" s="102">
        <v>48</v>
      </c>
      <c r="C52" s="103">
        <v>16</v>
      </c>
      <c r="D52" s="104" t="s">
        <v>207</v>
      </c>
      <c r="E52" s="105" t="s">
        <v>208</v>
      </c>
      <c r="F52" s="106">
        <v>8813401.7999999989</v>
      </c>
      <c r="G52" s="107">
        <f t="shared" si="1"/>
        <v>1159658.1315789472</v>
      </c>
      <c r="H52" s="108">
        <f>F52/E2</f>
        <v>2.8991453289473681E-2</v>
      </c>
      <c r="I52" s="211">
        <f>198262.5+71694.22+117185.74+127025.3+1999534.19+4372649.51+618946.29+320741.25+351491.18+382739.33</f>
        <v>8560269.5099999979</v>
      </c>
      <c r="J52" s="87">
        <f t="shared" si="4"/>
        <v>1126351.2513157893</v>
      </c>
      <c r="K52" s="88">
        <f t="shared" si="2"/>
        <v>0.97127870761548607</v>
      </c>
      <c r="L52" s="89">
        <f t="shared" si="3"/>
        <v>2.8158781282894729E-2</v>
      </c>
      <c r="M52" s="89" t="s">
        <v>114</v>
      </c>
      <c r="N52" s="55"/>
    </row>
    <row r="53" spans="1:14" ht="25.5" x14ac:dyDescent="0.25">
      <c r="B53" s="102">
        <v>49</v>
      </c>
      <c r="C53" s="103">
        <v>96</v>
      </c>
      <c r="D53" s="104" t="s">
        <v>209</v>
      </c>
      <c r="E53" s="105" t="s">
        <v>210</v>
      </c>
      <c r="F53" s="106">
        <v>3198342.7</v>
      </c>
      <c r="G53" s="107">
        <f t="shared" si="1"/>
        <v>420834.56578947371</v>
      </c>
      <c r="H53" s="108">
        <f>F53/E2</f>
        <v>1.0520864144736842E-2</v>
      </c>
      <c r="I53" s="87">
        <f>448000+2499579.35+148289.86</f>
        <v>3095869.21</v>
      </c>
      <c r="J53" s="87">
        <f t="shared" si="4"/>
        <v>407351.21184210526</v>
      </c>
      <c r="K53" s="88">
        <f t="shared" si="2"/>
        <v>0.9679604408870881</v>
      </c>
      <c r="L53" s="89">
        <f t="shared" si="3"/>
        <v>1.0183780296052632E-2</v>
      </c>
      <c r="M53" s="90" t="s">
        <v>114</v>
      </c>
      <c r="N53" s="55"/>
    </row>
    <row r="54" spans="1:14" s="111" customFormat="1" ht="38.25" customHeight="1" x14ac:dyDescent="0.25">
      <c r="B54" s="91">
        <v>50</v>
      </c>
      <c r="C54" s="92">
        <v>95</v>
      </c>
      <c r="D54" s="93" t="s">
        <v>704</v>
      </c>
      <c r="E54" s="94" t="s">
        <v>211</v>
      </c>
      <c r="F54" s="95">
        <v>578688.75</v>
      </c>
      <c r="G54" s="96">
        <f t="shared" si="1"/>
        <v>76143.256578947374</v>
      </c>
      <c r="H54" s="97">
        <f>F54/E2</f>
        <v>1.9035814144736842E-3</v>
      </c>
      <c r="I54" s="98">
        <f>24650+272485.51+24650+228003.24</f>
        <v>549788.75</v>
      </c>
      <c r="J54" s="98">
        <f t="shared" si="4"/>
        <v>72340.625</v>
      </c>
      <c r="K54" s="99">
        <f t="shared" si="2"/>
        <v>0.95005950953772644</v>
      </c>
      <c r="L54" s="100">
        <f t="shared" si="3"/>
        <v>1.808515625E-3</v>
      </c>
      <c r="M54" s="100"/>
      <c r="N54" s="55"/>
    </row>
    <row r="55" spans="1:14" ht="25.5" x14ac:dyDescent="0.25">
      <c r="B55" s="102">
        <v>51</v>
      </c>
      <c r="C55" s="103">
        <v>11</v>
      </c>
      <c r="D55" s="104" t="s">
        <v>212</v>
      </c>
      <c r="E55" s="105" t="s">
        <v>213</v>
      </c>
      <c r="F55" s="106">
        <v>866615.79999999993</v>
      </c>
      <c r="G55" s="107">
        <f t="shared" si="1"/>
        <v>114028.39473684211</v>
      </c>
      <c r="H55" s="108">
        <f>F55/E2</f>
        <v>2.8507098684210524E-3</v>
      </c>
      <c r="I55" s="86">
        <f>141578.78+488505.04+111209.75+13719.41+70863.92</f>
        <v>825876.9</v>
      </c>
      <c r="J55" s="87">
        <f t="shared" si="4"/>
        <v>108668.01315789475</v>
      </c>
      <c r="K55" s="88">
        <f t="shared" si="2"/>
        <v>0.95299081784569362</v>
      </c>
      <c r="L55" s="89">
        <f t="shared" si="3"/>
        <v>2.7167003289473683E-3</v>
      </c>
      <c r="M55" s="90" t="s">
        <v>114</v>
      </c>
      <c r="N55" s="55"/>
    </row>
    <row r="56" spans="1:14" s="111" customFormat="1" ht="25.5" x14ac:dyDescent="0.25">
      <c r="B56" s="102">
        <v>52</v>
      </c>
      <c r="C56" s="103">
        <v>32</v>
      </c>
      <c r="D56" s="104" t="s">
        <v>214</v>
      </c>
      <c r="E56" s="105" t="s">
        <v>215</v>
      </c>
      <c r="F56" s="106">
        <f>457861.5</f>
        <v>457861.5</v>
      </c>
      <c r="G56" s="107">
        <f t="shared" si="1"/>
        <v>60244.93421052632</v>
      </c>
      <c r="H56" s="108">
        <f>F56/E2</f>
        <v>1.5061233552631579E-3</v>
      </c>
      <c r="I56" s="87">
        <f>49725+371149.5+26775</f>
        <v>447649.5</v>
      </c>
      <c r="J56" s="87">
        <f t="shared" si="4"/>
        <v>58901.25</v>
      </c>
      <c r="K56" s="88">
        <f t="shared" si="2"/>
        <v>0.97769631209437791</v>
      </c>
      <c r="L56" s="89">
        <f t="shared" si="3"/>
        <v>1.4725312500000001E-3</v>
      </c>
      <c r="M56" s="90" t="s">
        <v>114</v>
      </c>
      <c r="N56" s="55"/>
    </row>
    <row r="57" spans="1:14" ht="25.5" x14ac:dyDescent="0.25">
      <c r="B57" s="102">
        <v>53</v>
      </c>
      <c r="C57" s="103">
        <v>30</v>
      </c>
      <c r="D57" s="104" t="s">
        <v>216</v>
      </c>
      <c r="E57" s="105" t="s">
        <v>217</v>
      </c>
      <c r="F57" s="106">
        <v>5552615</v>
      </c>
      <c r="G57" s="107">
        <f t="shared" si="1"/>
        <v>730607.23684210528</v>
      </c>
      <c r="H57" s="108">
        <f>F57/E2</f>
        <v>1.8265180921052632E-2</v>
      </c>
      <c r="I57" s="87">
        <f>293250+2858876.31+1250918.31+97750</f>
        <v>4500794.62</v>
      </c>
      <c r="J57" s="87">
        <f t="shared" si="4"/>
        <v>592209.81842105265</v>
      </c>
      <c r="K57" s="88">
        <f t="shared" si="2"/>
        <v>0.81057206739527232</v>
      </c>
      <c r="L57" s="89">
        <f t="shared" si="3"/>
        <v>1.4805245460526317E-2</v>
      </c>
      <c r="M57" s="89" t="s">
        <v>114</v>
      </c>
      <c r="N57" s="55"/>
    </row>
    <row r="58" spans="1:14" ht="25.5" x14ac:dyDescent="0.25">
      <c r="A58" s="125"/>
      <c r="B58" s="102">
        <v>54</v>
      </c>
      <c r="C58" s="103">
        <v>31</v>
      </c>
      <c r="D58" s="104" t="s">
        <v>218</v>
      </c>
      <c r="E58" s="105" t="s">
        <v>219</v>
      </c>
      <c r="F58" s="106">
        <v>1245648.75</v>
      </c>
      <c r="G58" s="107">
        <f t="shared" si="1"/>
        <v>163901.1513157895</v>
      </c>
      <c r="H58" s="108">
        <f>F58/E2</f>
        <v>4.0975287828947365E-3</v>
      </c>
      <c r="I58" s="87">
        <f>83300+771302.4+304781.44+44200</f>
        <v>1203583.8400000001</v>
      </c>
      <c r="J58" s="87">
        <f>I58/7.6</f>
        <v>158366.29473684213</v>
      </c>
      <c r="K58" s="88">
        <f t="shared" si="2"/>
        <v>0.96623052044165747</v>
      </c>
      <c r="L58" s="89">
        <f t="shared" si="3"/>
        <v>3.9591573684210528E-3</v>
      </c>
      <c r="M58" s="89" t="s">
        <v>114</v>
      </c>
      <c r="N58" s="55"/>
    </row>
    <row r="59" spans="1:14" ht="25.5" x14ac:dyDescent="0.25">
      <c r="B59" s="102">
        <v>55</v>
      </c>
      <c r="C59" s="103">
        <v>76</v>
      </c>
      <c r="D59" s="104" t="s">
        <v>220</v>
      </c>
      <c r="E59" s="105" t="s">
        <v>221</v>
      </c>
      <c r="F59" s="106">
        <v>724006.97</v>
      </c>
      <c r="G59" s="107">
        <f t="shared" si="1"/>
        <v>95264.074999999997</v>
      </c>
      <c r="H59" s="108">
        <f>F59/E2</f>
        <v>2.3816018750000001E-3</v>
      </c>
      <c r="I59" s="87">
        <f>60775+616311.15+32725</f>
        <v>709811.15</v>
      </c>
      <c r="J59" s="87">
        <f t="shared" si="4"/>
        <v>93396.203947368427</v>
      </c>
      <c r="K59" s="88">
        <f t="shared" si="2"/>
        <v>0.98039270257301536</v>
      </c>
      <c r="L59" s="89">
        <f t="shared" si="3"/>
        <v>2.3349050986842105E-3</v>
      </c>
      <c r="M59" s="90" t="s">
        <v>114</v>
      </c>
      <c r="N59" s="55"/>
    </row>
    <row r="60" spans="1:14" ht="30" x14ac:dyDescent="0.25">
      <c r="B60" s="113">
        <v>56</v>
      </c>
      <c r="C60" s="114">
        <v>61</v>
      </c>
      <c r="D60" s="115" t="s">
        <v>222</v>
      </c>
      <c r="E60" s="116" t="s">
        <v>223</v>
      </c>
      <c r="F60" s="117">
        <v>505803.74</v>
      </c>
      <c r="G60" s="118">
        <f t="shared" si="1"/>
        <v>66553.123684210528</v>
      </c>
      <c r="H60" s="119">
        <f>F60/E2</f>
        <v>1.6638280921052631E-3</v>
      </c>
      <c r="I60" s="120"/>
      <c r="J60" s="120">
        <f t="shared" si="4"/>
        <v>0</v>
      </c>
      <c r="K60" s="121">
        <f t="shared" si="2"/>
        <v>0</v>
      </c>
      <c r="L60" s="122">
        <f t="shared" si="3"/>
        <v>0</v>
      </c>
      <c r="M60" s="123" t="s">
        <v>224</v>
      </c>
      <c r="N60" s="55"/>
    </row>
    <row r="61" spans="1:14" ht="30" customHeight="1" x14ac:dyDescent="0.25">
      <c r="B61" s="102">
        <v>57</v>
      </c>
      <c r="C61" s="103">
        <v>77</v>
      </c>
      <c r="D61" s="104" t="s">
        <v>225</v>
      </c>
      <c r="E61" s="105" t="s">
        <v>226</v>
      </c>
      <c r="F61" s="106">
        <v>1937978.3800000001</v>
      </c>
      <c r="G61" s="107">
        <f t="shared" si="1"/>
        <v>254997.15526315791</v>
      </c>
      <c r="H61" s="108">
        <f>F61/E2</f>
        <v>6.3749288815789481E-3</v>
      </c>
      <c r="I61" s="87">
        <f>93925+1241082.6+409226.76+96900</f>
        <v>1841134.36</v>
      </c>
      <c r="J61" s="87">
        <f t="shared" si="4"/>
        <v>242254.52105263161</v>
      </c>
      <c r="K61" s="88">
        <f t="shared" si="2"/>
        <v>0.95002832797340087</v>
      </c>
      <c r="L61" s="89">
        <f t="shared" si="3"/>
        <v>6.0563630263157902E-3</v>
      </c>
      <c r="M61" s="89" t="s">
        <v>114</v>
      </c>
      <c r="N61" s="55"/>
    </row>
    <row r="62" spans="1:14" ht="25.5" x14ac:dyDescent="0.25">
      <c r="B62" s="102">
        <v>58</v>
      </c>
      <c r="C62" s="103">
        <v>10</v>
      </c>
      <c r="D62" s="104" t="s">
        <v>227</v>
      </c>
      <c r="E62" s="105" t="s">
        <v>228</v>
      </c>
      <c r="F62" s="106">
        <v>816725.81</v>
      </c>
      <c r="G62" s="107">
        <f t="shared" si="1"/>
        <v>107463.92236842106</v>
      </c>
      <c r="H62" s="108">
        <f>F62/E2</f>
        <v>2.6865980592105263E-3</v>
      </c>
      <c r="I62" s="87">
        <f>530588.52+40618.98</f>
        <v>571207.5</v>
      </c>
      <c r="J62" s="87">
        <f t="shared" si="4"/>
        <v>75158.881578947374</v>
      </c>
      <c r="K62" s="88">
        <f t="shared" si="2"/>
        <v>0.69938710520241787</v>
      </c>
      <c r="L62" s="89">
        <f t="shared" si="3"/>
        <v>1.8789720394736841E-3</v>
      </c>
      <c r="M62" s="89" t="s">
        <v>114</v>
      </c>
      <c r="N62" s="55"/>
    </row>
    <row r="63" spans="1:14" ht="25.5" x14ac:dyDescent="0.25">
      <c r="B63" s="102">
        <v>59</v>
      </c>
      <c r="C63" s="103">
        <v>19</v>
      </c>
      <c r="D63" s="104" t="s">
        <v>229</v>
      </c>
      <c r="E63" s="105" t="s">
        <v>230</v>
      </c>
      <c r="F63" s="106">
        <v>3530433.5500000003</v>
      </c>
      <c r="G63" s="107">
        <f t="shared" si="1"/>
        <v>464530.73026315798</v>
      </c>
      <c r="H63" s="108">
        <f>F63/E2</f>
        <v>1.1613268256578949E-2</v>
      </c>
      <c r="I63" s="87">
        <f>127542.5+2960686.91+366709.28</f>
        <v>3454938.6900000004</v>
      </c>
      <c r="J63" s="87">
        <f t="shared" si="4"/>
        <v>454597.19605263165</v>
      </c>
      <c r="K63" s="88">
        <f t="shared" si="2"/>
        <v>0.97861598046506215</v>
      </c>
      <c r="L63" s="89">
        <f t="shared" si="3"/>
        <v>1.136492990131579E-2</v>
      </c>
      <c r="M63" s="90" t="s">
        <v>114</v>
      </c>
      <c r="N63" s="55"/>
    </row>
    <row r="64" spans="1:14" x14ac:dyDescent="0.25">
      <c r="B64" s="91">
        <v>60</v>
      </c>
      <c r="C64" s="92">
        <v>9</v>
      </c>
      <c r="D64" s="93" t="s">
        <v>231</v>
      </c>
      <c r="E64" s="94" t="s">
        <v>232</v>
      </c>
      <c r="F64" s="95">
        <v>882202.05</v>
      </c>
      <c r="G64" s="96">
        <f t="shared" si="1"/>
        <v>116079.21710526317</v>
      </c>
      <c r="H64" s="97">
        <f>F64/E2</f>
        <v>2.9019804276315792E-3</v>
      </c>
      <c r="I64" s="98">
        <v>27965</v>
      </c>
      <c r="J64" s="98">
        <f t="shared" si="4"/>
        <v>3679.605263157895</v>
      </c>
      <c r="K64" s="99">
        <f t="shared" si="2"/>
        <v>3.1699087527624764E-2</v>
      </c>
      <c r="L64" s="100">
        <f t="shared" si="3"/>
        <v>9.1990131578947369E-5</v>
      </c>
      <c r="M64" s="100"/>
      <c r="N64" s="55"/>
    </row>
    <row r="65" spans="2:14" ht="25.5" x14ac:dyDescent="0.25">
      <c r="B65" s="102">
        <v>61</v>
      </c>
      <c r="C65" s="103">
        <v>88</v>
      </c>
      <c r="D65" s="104" t="s">
        <v>233</v>
      </c>
      <c r="E65" s="105" t="s">
        <v>234</v>
      </c>
      <c r="F65" s="106">
        <v>2601560.98</v>
      </c>
      <c r="G65" s="107">
        <f t="shared" si="1"/>
        <v>342310.65526315791</v>
      </c>
      <c r="H65" s="108">
        <f>F65/E2</f>
        <v>8.5577663815789469E-3</v>
      </c>
      <c r="I65" s="87">
        <f>210598.65+209640.65+111812.51+1534978.18+70507.3+215267.43</f>
        <v>2352804.7199999997</v>
      </c>
      <c r="J65" s="87">
        <f t="shared" si="4"/>
        <v>309579.56842105259</v>
      </c>
      <c r="K65" s="88">
        <f t="shared" si="2"/>
        <v>0.90438192227191216</v>
      </c>
      <c r="L65" s="89">
        <f t="shared" si="3"/>
        <v>7.7394892105263147E-3</v>
      </c>
      <c r="M65" s="89" t="s">
        <v>114</v>
      </c>
      <c r="N65" s="55"/>
    </row>
    <row r="66" spans="2:14" ht="25.5" x14ac:dyDescent="0.25">
      <c r="B66" s="91">
        <v>62</v>
      </c>
      <c r="C66" s="92">
        <v>114</v>
      </c>
      <c r="D66" s="93" t="s">
        <v>235</v>
      </c>
      <c r="E66" s="94" t="s">
        <v>236</v>
      </c>
      <c r="F66" s="95">
        <v>1383525.8900000001</v>
      </c>
      <c r="G66" s="96">
        <f t="shared" si="1"/>
        <v>182042.88026315792</v>
      </c>
      <c r="H66" s="97">
        <f>F66/E2</f>
        <v>4.5510720065789481E-3</v>
      </c>
      <c r="I66" s="98">
        <f>194130.78+94308.65+98081.04+226000.94+732918.04+10784.75</f>
        <v>1356224.2</v>
      </c>
      <c r="J66" s="98">
        <f t="shared" si="4"/>
        <v>178450.55263157896</v>
      </c>
      <c r="K66" s="99">
        <f t="shared" si="2"/>
        <v>0.98026658539797895</v>
      </c>
      <c r="L66" s="100">
        <f t="shared" si="3"/>
        <v>4.4612638157894733E-3</v>
      </c>
      <c r="M66" s="100" t="s">
        <v>114</v>
      </c>
      <c r="N66" s="55"/>
    </row>
    <row r="67" spans="2:14" ht="22.35" customHeight="1" x14ac:dyDescent="0.25">
      <c r="B67" s="102">
        <v>63</v>
      </c>
      <c r="C67" s="103">
        <v>34</v>
      </c>
      <c r="D67" s="104" t="s">
        <v>237</v>
      </c>
      <c r="E67" s="105" t="s">
        <v>238</v>
      </c>
      <c r="F67" s="106">
        <v>814853.06</v>
      </c>
      <c r="G67" s="107">
        <f t="shared" si="1"/>
        <v>107217.50789473686</v>
      </c>
      <c r="H67" s="108">
        <f>F67/E2</f>
        <v>2.6804376973684212E-3</v>
      </c>
      <c r="I67" s="87">
        <f>66300+693109.9+52530</f>
        <v>811939.9</v>
      </c>
      <c r="J67" s="87">
        <f t="shared" si="4"/>
        <v>106834.19736842107</v>
      </c>
      <c r="K67" s="88">
        <f t="shared" si="2"/>
        <v>0.99642492598604215</v>
      </c>
      <c r="L67" s="89">
        <f t="shared" si="3"/>
        <v>2.6708549342105265E-3</v>
      </c>
      <c r="M67" s="89" t="s">
        <v>114</v>
      </c>
      <c r="N67" s="55"/>
    </row>
    <row r="68" spans="2:14" ht="25.5" x14ac:dyDescent="0.25">
      <c r="B68" s="102">
        <v>64</v>
      </c>
      <c r="C68" s="103">
        <v>20</v>
      </c>
      <c r="D68" s="104" t="s">
        <v>239</v>
      </c>
      <c r="E68" s="105" t="s">
        <v>240</v>
      </c>
      <c r="F68" s="106">
        <v>1860133.13</v>
      </c>
      <c r="G68" s="107">
        <f t="shared" si="1"/>
        <v>244754.35921052631</v>
      </c>
      <c r="H68" s="108">
        <f>F68/E2</f>
        <v>6.1188589802631576E-3</v>
      </c>
      <c r="I68" s="87">
        <f>43435+71778.92+410135.03+1097272.61+62475+5100</f>
        <v>1690196.56</v>
      </c>
      <c r="J68" s="87">
        <f t="shared" si="4"/>
        <v>222394.28421052633</v>
      </c>
      <c r="K68" s="88">
        <f t="shared" si="2"/>
        <v>0.90864279160492134</v>
      </c>
      <c r="L68" s="89">
        <f t="shared" si="3"/>
        <v>5.5598571052631581E-3</v>
      </c>
      <c r="M68" s="89" t="s">
        <v>114</v>
      </c>
      <c r="N68" s="55"/>
    </row>
    <row r="69" spans="2:14" ht="25.5" x14ac:dyDescent="0.25">
      <c r="B69" s="91">
        <v>65</v>
      </c>
      <c r="C69" s="92">
        <v>98</v>
      </c>
      <c r="D69" s="93" t="s">
        <v>241</v>
      </c>
      <c r="E69" s="94" t="s">
        <v>242</v>
      </c>
      <c r="F69" s="95">
        <v>19699655.16</v>
      </c>
      <c r="G69" s="96">
        <f t="shared" si="1"/>
        <v>2592059.8894736841</v>
      </c>
      <c r="H69" s="97">
        <f>F69/E2</f>
        <v>6.4801497236842101E-2</v>
      </c>
      <c r="I69" s="98">
        <f>6975208.42+3215613.28+4057708.91+2207282.68+946404.44+1361818.17+24449.01+704681.88</f>
        <v>19493166.789999999</v>
      </c>
      <c r="J69" s="98">
        <f t="shared" si="4"/>
        <v>2564890.3671052633</v>
      </c>
      <c r="K69" s="99">
        <f t="shared" si="2"/>
        <v>0.98951817337293935</v>
      </c>
      <c r="L69" s="100">
        <f t="shared" si="3"/>
        <v>6.4122259177631577E-2</v>
      </c>
      <c r="M69" s="100"/>
      <c r="N69" s="55"/>
    </row>
    <row r="70" spans="2:14" ht="25.5" x14ac:dyDescent="0.25">
      <c r="B70" s="102">
        <v>66</v>
      </c>
      <c r="C70" s="103">
        <v>69</v>
      </c>
      <c r="D70" s="104" t="s">
        <v>243</v>
      </c>
      <c r="E70" s="105" t="s">
        <v>244</v>
      </c>
      <c r="F70" s="106">
        <v>638747.66</v>
      </c>
      <c r="G70" s="107">
        <f t="shared" ref="G70:G81" si="5">F70/7.6</f>
        <v>84045.744736842113</v>
      </c>
      <c r="H70" s="108">
        <f>F70/E2</f>
        <v>2.1011436184210528E-3</v>
      </c>
      <c r="I70" s="87">
        <f>49725+550040.8+38930</f>
        <v>638695.80000000005</v>
      </c>
      <c r="J70" s="87">
        <f t="shared" si="4"/>
        <v>84038.921052631587</v>
      </c>
      <c r="K70" s="88">
        <f t="shared" ref="K70:K93" si="6">I70/F70</f>
        <v>0.99991880987869297</v>
      </c>
      <c r="L70" s="89">
        <f t="shared" ref="L70:L93" si="7">I70/304000000</f>
        <v>2.1009730263157897E-3</v>
      </c>
      <c r="M70" s="89" t="s">
        <v>114</v>
      </c>
      <c r="N70" s="55"/>
    </row>
    <row r="71" spans="2:14" ht="25.5" x14ac:dyDescent="0.25">
      <c r="B71" s="102">
        <v>67</v>
      </c>
      <c r="C71" s="103">
        <v>51</v>
      </c>
      <c r="D71" s="104" t="s">
        <v>245</v>
      </c>
      <c r="E71" s="105" t="s">
        <v>246</v>
      </c>
      <c r="F71" s="106">
        <v>1054680.1000000001</v>
      </c>
      <c r="G71" s="107">
        <f t="shared" si="5"/>
        <v>138773.69736842107</v>
      </c>
      <c r="H71" s="108">
        <f>F71/E2</f>
        <v>3.4693424342105267E-3</v>
      </c>
      <c r="I71" s="87">
        <f>1215.5+745631.99+44625+66300</f>
        <v>857772.49</v>
      </c>
      <c r="J71" s="87">
        <f t="shared" si="4"/>
        <v>112864.80131578947</v>
      </c>
      <c r="K71" s="88">
        <f t="shared" si="6"/>
        <v>0.81330110428745161</v>
      </c>
      <c r="L71" s="89">
        <f t="shared" si="7"/>
        <v>2.8216200328947368E-3</v>
      </c>
      <c r="M71" s="89" t="s">
        <v>114</v>
      </c>
      <c r="N71" s="55"/>
    </row>
    <row r="72" spans="2:14" ht="25.5" x14ac:dyDescent="0.25">
      <c r="B72" s="91">
        <v>68</v>
      </c>
      <c r="C72" s="92">
        <v>118</v>
      </c>
      <c r="D72" s="93" t="s">
        <v>247</v>
      </c>
      <c r="E72" s="94" t="s">
        <v>248</v>
      </c>
      <c r="F72" s="95">
        <v>2721422.4299999997</v>
      </c>
      <c r="G72" s="96">
        <f t="shared" si="5"/>
        <v>358081.89868421049</v>
      </c>
      <c r="H72" s="97">
        <f>F72/E2</f>
        <v>8.9520474671052619E-3</v>
      </c>
      <c r="I72" s="98">
        <f>16593.66+167530.82+542049+425560.23+546652.24+320463.57+113759.32+275056.06</f>
        <v>2407664.9</v>
      </c>
      <c r="J72" s="98">
        <f t="shared" si="4"/>
        <v>316798.01315789472</v>
      </c>
      <c r="K72" s="99">
        <f t="shared" si="6"/>
        <v>0.88470825898205008</v>
      </c>
      <c r="L72" s="100">
        <f t="shared" si="7"/>
        <v>7.9199503289473679E-3</v>
      </c>
      <c r="M72" s="100"/>
      <c r="N72" s="55"/>
    </row>
    <row r="73" spans="2:14" x14ac:dyDescent="0.25">
      <c r="B73" s="102">
        <v>69</v>
      </c>
      <c r="C73" s="103">
        <v>41</v>
      </c>
      <c r="D73" s="104" t="s">
        <v>249</v>
      </c>
      <c r="E73" s="105" t="s">
        <v>250</v>
      </c>
      <c r="F73" s="106">
        <v>3094352.93</v>
      </c>
      <c r="G73" s="107">
        <f t="shared" si="5"/>
        <v>407151.70131578954</v>
      </c>
      <c r="H73" s="108">
        <f>F73/E2</f>
        <v>1.0178792532894738E-2</v>
      </c>
      <c r="I73" s="87">
        <f>80681.52+222449.28+1801422.7+359045.95+336720.99+61915.07</f>
        <v>2862235.5100000002</v>
      </c>
      <c r="J73" s="87">
        <f t="shared" si="4"/>
        <v>376609.93552631582</v>
      </c>
      <c r="K73" s="88">
        <f t="shared" si="6"/>
        <v>0.9249867661346568</v>
      </c>
      <c r="L73" s="89">
        <f t="shared" si="7"/>
        <v>9.4152483881578958E-3</v>
      </c>
      <c r="M73" s="89" t="s">
        <v>114</v>
      </c>
      <c r="N73" s="55"/>
    </row>
    <row r="74" spans="2:14" x14ac:dyDescent="0.25">
      <c r="B74" s="91">
        <v>70</v>
      </c>
      <c r="C74" s="92">
        <v>27</v>
      </c>
      <c r="D74" s="93" t="s">
        <v>251</v>
      </c>
      <c r="E74" s="94" t="s">
        <v>252</v>
      </c>
      <c r="F74" s="95">
        <v>645684.62</v>
      </c>
      <c r="G74" s="96">
        <f t="shared" si="5"/>
        <v>84958.502631578944</v>
      </c>
      <c r="H74" s="97">
        <f>F74/E2</f>
        <v>2.1239625657894735E-3</v>
      </c>
      <c r="I74" s="110">
        <f>129136.92+67867.89+41225+97632+77341.63+81612.8+16575+96755.2</f>
        <v>608146.43999999994</v>
      </c>
      <c r="J74" s="98">
        <f t="shared" ref="J74:J93" si="8">I74/7.6</f>
        <v>80019.268421052635</v>
      </c>
      <c r="K74" s="99">
        <f t="shared" si="6"/>
        <v>0.9418629794836989</v>
      </c>
      <c r="L74" s="100">
        <f t="shared" si="7"/>
        <v>2.0004817105263154E-3</v>
      </c>
      <c r="M74" s="100"/>
      <c r="N74" s="55"/>
    </row>
    <row r="75" spans="2:14" ht="38.25" x14ac:dyDescent="0.25">
      <c r="B75" s="91">
        <v>71</v>
      </c>
      <c r="C75" s="92">
        <v>121</v>
      </c>
      <c r="D75" s="93" t="s">
        <v>253</v>
      </c>
      <c r="E75" s="94" t="s">
        <v>254</v>
      </c>
      <c r="F75" s="95">
        <v>1271576.23</v>
      </c>
      <c r="G75" s="96">
        <f t="shared" si="5"/>
        <v>167312.66184210527</v>
      </c>
      <c r="H75" s="97">
        <f>F75/E2</f>
        <v>4.1828165460526317E-3</v>
      </c>
      <c r="I75" s="98">
        <v>644544.39</v>
      </c>
      <c r="J75" s="98">
        <f t="shared" si="8"/>
        <v>84808.472368421062</v>
      </c>
      <c r="K75" s="99">
        <f t="shared" si="6"/>
        <v>0.5068861581346169</v>
      </c>
      <c r="L75" s="100">
        <f t="shared" si="7"/>
        <v>2.1202118092105262E-3</v>
      </c>
      <c r="M75" s="100"/>
      <c r="N75" s="55"/>
    </row>
    <row r="76" spans="2:14" ht="18" customHeight="1" x14ac:dyDescent="0.25">
      <c r="B76" s="91">
        <v>72</v>
      </c>
      <c r="C76" s="92">
        <v>124</v>
      </c>
      <c r="D76" s="93" t="s">
        <v>255</v>
      </c>
      <c r="E76" s="94" t="s">
        <v>256</v>
      </c>
      <c r="F76" s="95">
        <v>13921121.25</v>
      </c>
      <c r="G76" s="96">
        <f t="shared" si="5"/>
        <v>1831726.480263158</v>
      </c>
      <c r="H76" s="97">
        <f>F76/E2</f>
        <v>4.5793162006578944E-2</v>
      </c>
      <c r="I76" s="98">
        <f>4512617.8+3300006.52+3193489.41+554750+102850+1120781.87</f>
        <v>12784495.600000001</v>
      </c>
      <c r="J76" s="98">
        <f t="shared" si="8"/>
        <v>1682170.4736842108</v>
      </c>
      <c r="K76" s="99">
        <f t="shared" si="6"/>
        <v>0.91835243515316711</v>
      </c>
      <c r="L76" s="100">
        <f t="shared" si="7"/>
        <v>4.205426184210527E-2</v>
      </c>
      <c r="M76" s="100"/>
      <c r="N76" s="55"/>
    </row>
    <row r="77" spans="2:14" ht="25.5" x14ac:dyDescent="0.25">
      <c r="B77" s="91">
        <v>73</v>
      </c>
      <c r="C77" s="92">
        <v>59</v>
      </c>
      <c r="D77" s="93" t="s">
        <v>257</v>
      </c>
      <c r="E77" s="94" t="s">
        <v>258</v>
      </c>
      <c r="F77" s="95">
        <v>16815674.25</v>
      </c>
      <c r="G77" s="96">
        <f t="shared" si="5"/>
        <v>2212588.7171052634</v>
      </c>
      <c r="H77" s="97">
        <f>F77/E2</f>
        <v>5.5314717927631582E-2</v>
      </c>
      <c r="I77" s="128">
        <f>3360000+739273.31+954922.11+2876080.23+1363667.94</f>
        <v>9293943.5899999999</v>
      </c>
      <c r="J77" s="98">
        <f t="shared" si="8"/>
        <v>1222887.3144736842</v>
      </c>
      <c r="K77" s="99">
        <f t="shared" si="6"/>
        <v>0.55269526822571502</v>
      </c>
      <c r="L77" s="100">
        <f t="shared" si="7"/>
        <v>3.0572182861842104E-2</v>
      </c>
      <c r="M77" s="100"/>
      <c r="N77" s="55"/>
    </row>
    <row r="78" spans="2:14" s="111" customFormat="1" ht="25.5" x14ac:dyDescent="0.25">
      <c r="B78" s="102">
        <v>74</v>
      </c>
      <c r="C78" s="103">
        <v>40</v>
      </c>
      <c r="D78" s="104" t="s">
        <v>259</v>
      </c>
      <c r="E78" s="105" t="s">
        <v>260</v>
      </c>
      <c r="F78" s="106">
        <v>624750.42000000004</v>
      </c>
      <c r="G78" s="107">
        <f t="shared" si="5"/>
        <v>82204.002631578958</v>
      </c>
      <c r="H78" s="108">
        <f>F78/E2</f>
        <v>2.0551000657894739E-3</v>
      </c>
      <c r="I78" s="86">
        <f>42500+519374.58</f>
        <v>561874.58000000007</v>
      </c>
      <c r="J78" s="87">
        <f t="shared" si="8"/>
        <v>73930.865789473697</v>
      </c>
      <c r="K78" s="88">
        <f t="shared" si="6"/>
        <v>0.89935846701791744</v>
      </c>
      <c r="L78" s="89">
        <f t="shared" si="7"/>
        <v>1.8482716447368423E-3</v>
      </c>
      <c r="M78" s="90" t="s">
        <v>114</v>
      </c>
      <c r="N78" s="55"/>
    </row>
    <row r="79" spans="2:14" ht="25.5" x14ac:dyDescent="0.25">
      <c r="B79" s="91">
        <v>75</v>
      </c>
      <c r="C79" s="92">
        <v>56</v>
      </c>
      <c r="D79" s="93" t="s">
        <v>261</v>
      </c>
      <c r="E79" s="94" t="s">
        <v>262</v>
      </c>
      <c r="F79" s="95">
        <v>12050166.779999999</v>
      </c>
      <c r="G79" s="96">
        <f t="shared" si="5"/>
        <v>1585548.2605263158</v>
      </c>
      <c r="H79" s="97">
        <f>F79/E2</f>
        <v>3.9638706513157894E-2</v>
      </c>
      <c r="I79" s="98">
        <f>151766.13+16177.42+159224.94+93870.01+1368113.4+2865590.35+393114.14+32354.84+24266.13+16177.42</f>
        <v>5120654.7799999993</v>
      </c>
      <c r="J79" s="98">
        <f t="shared" si="8"/>
        <v>673770.36578947364</v>
      </c>
      <c r="K79" s="99">
        <f t="shared" si="6"/>
        <v>0.42494472263229538</v>
      </c>
      <c r="L79" s="100">
        <f t="shared" si="7"/>
        <v>1.6844259144736841E-2</v>
      </c>
      <c r="M79" s="100"/>
      <c r="N79" s="55"/>
    </row>
    <row r="80" spans="2:14" x14ac:dyDescent="0.25">
      <c r="B80" s="102">
        <v>76</v>
      </c>
      <c r="C80" s="103">
        <v>4</v>
      </c>
      <c r="D80" s="104" t="s">
        <v>263</v>
      </c>
      <c r="E80" s="105" t="s">
        <v>264</v>
      </c>
      <c r="F80" s="106">
        <v>674963.74</v>
      </c>
      <c r="G80" s="107">
        <f t="shared" si="5"/>
        <v>88811.018421052635</v>
      </c>
      <c r="H80" s="108">
        <f>F80/E2</f>
        <v>2.2202754605263157E-3</v>
      </c>
      <c r="I80" s="87">
        <f>12750+25479.82+437679.6+28292.9</f>
        <v>504202.32</v>
      </c>
      <c r="J80" s="87">
        <f t="shared" si="8"/>
        <v>66342.410526315798</v>
      </c>
      <c r="K80" s="88">
        <f t="shared" si="6"/>
        <v>0.74700652808401236</v>
      </c>
      <c r="L80" s="89">
        <f t="shared" si="7"/>
        <v>1.6585602631578947E-3</v>
      </c>
      <c r="M80" s="89" t="s">
        <v>114</v>
      </c>
      <c r="N80" s="55"/>
    </row>
    <row r="81" spans="2:14" ht="25.5" x14ac:dyDescent="0.25">
      <c r="B81" s="129">
        <v>77</v>
      </c>
      <c r="C81" s="130">
        <v>99</v>
      </c>
      <c r="D81" s="104" t="s">
        <v>265</v>
      </c>
      <c r="E81" s="105" t="s">
        <v>266</v>
      </c>
      <c r="F81" s="106">
        <v>782951.1</v>
      </c>
      <c r="G81" s="107">
        <f t="shared" si="5"/>
        <v>103019.88157894737</v>
      </c>
      <c r="H81" s="108">
        <f>F81/E2</f>
        <v>2.5754970394736842E-3</v>
      </c>
      <c r="I81" s="87">
        <f>149770+14365+112129.8+49043.08+49512.91+26455.08+23492.11+111870.14+46319.75+97877.31</f>
        <v>680835.17999999993</v>
      </c>
      <c r="J81" s="87">
        <f t="shared" si="8"/>
        <v>89583.576315789469</v>
      </c>
      <c r="K81" s="131">
        <f t="shared" si="6"/>
        <v>0.86957560951124524</v>
      </c>
      <c r="L81" s="89">
        <f t="shared" si="7"/>
        <v>2.2395894078947368E-3</v>
      </c>
      <c r="M81" s="89" t="s">
        <v>114</v>
      </c>
      <c r="N81" s="55"/>
    </row>
    <row r="82" spans="2:14" ht="25.5" x14ac:dyDescent="0.25">
      <c r="B82" s="132">
        <v>78</v>
      </c>
      <c r="C82" s="133">
        <v>37</v>
      </c>
      <c r="D82" s="93" t="s">
        <v>267</v>
      </c>
      <c r="E82" s="134" t="s">
        <v>268</v>
      </c>
      <c r="F82" s="95">
        <v>1630604.64</v>
      </c>
      <c r="G82" s="96" t="s">
        <v>269</v>
      </c>
      <c r="H82" s="97">
        <v>5.4000000000000003E-3</v>
      </c>
      <c r="I82" s="135">
        <f>61540+643099.18+472.5+455792.01</f>
        <v>1160903.69</v>
      </c>
      <c r="J82" s="98">
        <f t="shared" si="8"/>
        <v>152750.48552631578</v>
      </c>
      <c r="K82" s="136">
        <f t="shared" si="6"/>
        <v>0.71194675982278577</v>
      </c>
      <c r="L82" s="100">
        <f t="shared" si="7"/>
        <v>3.8187621381578947E-3</v>
      </c>
      <c r="M82" s="100"/>
      <c r="N82" s="55"/>
    </row>
    <row r="83" spans="2:14" ht="24.75" customHeight="1" x14ac:dyDescent="0.25">
      <c r="B83" s="132">
        <v>79</v>
      </c>
      <c r="C83" s="133">
        <v>104</v>
      </c>
      <c r="D83" s="93" t="s">
        <v>270</v>
      </c>
      <c r="E83" s="137" t="s">
        <v>271</v>
      </c>
      <c r="F83" s="138">
        <v>6026324.7599999998</v>
      </c>
      <c r="G83" s="96">
        <v>792937.47</v>
      </c>
      <c r="H83" s="97">
        <v>1.9800000000000002E-2</v>
      </c>
      <c r="I83" s="135">
        <f>412216.34+36721.16+80586.82+142971.54+67337.41+1019232.81</f>
        <v>1759066.08</v>
      </c>
      <c r="J83" s="98">
        <f t="shared" si="8"/>
        <v>231456.06315789477</v>
      </c>
      <c r="K83" s="136">
        <f t="shared" si="6"/>
        <v>0.29189699361638788</v>
      </c>
      <c r="L83" s="100">
        <f t="shared" si="7"/>
        <v>5.7864015789473684E-3</v>
      </c>
      <c r="M83" s="100"/>
      <c r="N83" s="55"/>
    </row>
    <row r="84" spans="2:14" x14ac:dyDescent="0.25">
      <c r="B84" s="132">
        <v>80</v>
      </c>
      <c r="C84" s="133">
        <v>13</v>
      </c>
      <c r="D84" s="93" t="s">
        <v>272</v>
      </c>
      <c r="E84" s="93" t="s">
        <v>273</v>
      </c>
      <c r="F84" s="139">
        <v>4165952.45</v>
      </c>
      <c r="G84" s="96">
        <v>548151.64</v>
      </c>
      <c r="H84" s="97">
        <v>1.37E-2</v>
      </c>
      <c r="I84" s="135">
        <f>2510821.29+6234.38+196906.66+12428.86+251209.96+11306.91</f>
        <v>2988908.06</v>
      </c>
      <c r="J84" s="135">
        <f t="shared" si="8"/>
        <v>393277.37631578947</v>
      </c>
      <c r="K84" s="140">
        <f t="shared" si="6"/>
        <v>0.71746091581050087</v>
      </c>
      <c r="L84" s="141">
        <f t="shared" si="7"/>
        <v>9.8319344078947376E-3</v>
      </c>
      <c r="M84" s="100"/>
      <c r="N84" s="55"/>
    </row>
    <row r="85" spans="2:14" x14ac:dyDescent="0.25">
      <c r="B85" s="129">
        <v>81</v>
      </c>
      <c r="C85" s="130">
        <v>14</v>
      </c>
      <c r="D85" s="104" t="s">
        <v>274</v>
      </c>
      <c r="E85" s="104" t="s">
        <v>275</v>
      </c>
      <c r="F85" s="142">
        <v>981955.64</v>
      </c>
      <c r="G85" s="107">
        <v>129204.69</v>
      </c>
      <c r="H85" s="108">
        <v>3.2000000000000002E-3</v>
      </c>
      <c r="I85" s="87">
        <f>630183.26+46248.6+290979.42</f>
        <v>967411.28</v>
      </c>
      <c r="J85" s="87">
        <f t="shared" si="8"/>
        <v>127290.95789473686</v>
      </c>
      <c r="K85" s="143">
        <f t="shared" si="6"/>
        <v>0.98518837368254231</v>
      </c>
      <c r="L85" s="89">
        <f t="shared" si="7"/>
        <v>3.1822739473684213E-3</v>
      </c>
      <c r="M85" s="90" t="s">
        <v>114</v>
      </c>
      <c r="N85" s="55"/>
    </row>
    <row r="86" spans="2:14" x14ac:dyDescent="0.25">
      <c r="B86" s="132">
        <v>82</v>
      </c>
      <c r="C86" s="133">
        <v>22</v>
      </c>
      <c r="D86" s="93" t="s">
        <v>276</v>
      </c>
      <c r="E86" s="93" t="s">
        <v>277</v>
      </c>
      <c r="F86" s="139">
        <v>3744799.57</v>
      </c>
      <c r="G86" s="96">
        <v>492736.78</v>
      </c>
      <c r="H86" s="97">
        <v>1.23E-2</v>
      </c>
      <c r="I86" s="110">
        <f>745000+461935.75+676876.82+64260+176782.08+627784.07</f>
        <v>2752638.7199999997</v>
      </c>
      <c r="J86" s="98">
        <f t="shared" si="8"/>
        <v>362189.30526315788</v>
      </c>
      <c r="K86" s="136">
        <f t="shared" si="6"/>
        <v>0.73505635443127326</v>
      </c>
      <c r="L86" s="100">
        <f t="shared" si="7"/>
        <v>9.0547326315789465E-3</v>
      </c>
      <c r="M86" s="100"/>
      <c r="N86" s="55"/>
    </row>
    <row r="87" spans="2:14" x14ac:dyDescent="0.25">
      <c r="B87" s="144">
        <v>83</v>
      </c>
      <c r="C87" s="145">
        <v>55</v>
      </c>
      <c r="D87" s="146" t="s">
        <v>278</v>
      </c>
      <c r="E87" s="147" t="s">
        <v>279</v>
      </c>
      <c r="F87" s="148">
        <v>4183072.55</v>
      </c>
      <c r="G87" s="149">
        <v>550404.28</v>
      </c>
      <c r="H87" s="150">
        <v>1.38E-2</v>
      </c>
      <c r="I87" s="87">
        <f>4151492.97+26776.28</f>
        <v>4178269.25</v>
      </c>
      <c r="J87" s="87">
        <f t="shared" si="8"/>
        <v>549772.26973684214</v>
      </c>
      <c r="K87" s="143">
        <f t="shared" si="6"/>
        <v>0.99885172921516752</v>
      </c>
      <c r="L87" s="89">
        <f t="shared" si="7"/>
        <v>1.3744306743421053E-2</v>
      </c>
      <c r="M87" s="90" t="s">
        <v>114</v>
      </c>
      <c r="N87" s="55"/>
    </row>
    <row r="88" spans="2:14" x14ac:dyDescent="0.25">
      <c r="B88" s="151">
        <v>84</v>
      </c>
      <c r="C88" s="152">
        <v>7</v>
      </c>
      <c r="D88" s="153" t="s">
        <v>280</v>
      </c>
      <c r="E88" s="147" t="s">
        <v>281</v>
      </c>
      <c r="F88" s="148">
        <v>1637573.77</v>
      </c>
      <c r="G88" s="149">
        <v>215470.23</v>
      </c>
      <c r="H88" s="150" t="s">
        <v>282</v>
      </c>
      <c r="I88" s="87">
        <f>26775+36783.52+48544.41+1041003.1+36728.81</f>
        <v>1189834.8400000001</v>
      </c>
      <c r="J88" s="87">
        <f t="shared" si="8"/>
        <v>156557.2157894737</v>
      </c>
      <c r="K88" s="143">
        <f t="shared" si="6"/>
        <v>0.72658396329833741</v>
      </c>
      <c r="L88" s="89">
        <f t="shared" si="7"/>
        <v>3.9139303947368425E-3</v>
      </c>
      <c r="M88" s="90" t="s">
        <v>114</v>
      </c>
      <c r="N88" s="55"/>
    </row>
    <row r="89" spans="2:14" ht="24" customHeight="1" x14ac:dyDescent="0.25">
      <c r="B89" s="144">
        <v>85</v>
      </c>
      <c r="C89" s="145">
        <v>74</v>
      </c>
      <c r="D89" s="146" t="s">
        <v>283</v>
      </c>
      <c r="E89" s="147" t="s">
        <v>284</v>
      </c>
      <c r="F89" s="1012">
        <v>902311.52</v>
      </c>
      <c r="G89" s="1013">
        <v>118725.2</v>
      </c>
      <c r="H89" s="1014">
        <v>2.8999999999999998E-3</v>
      </c>
      <c r="I89" s="87">
        <f>82875+529254+231165+44625</f>
        <v>887919</v>
      </c>
      <c r="J89" s="87">
        <f t="shared" si="8"/>
        <v>116831.44736842105</v>
      </c>
      <c r="K89" s="143">
        <f t="shared" si="6"/>
        <v>0.98404927823596888</v>
      </c>
      <c r="L89" s="89">
        <f t="shared" si="7"/>
        <v>2.9207861842105265E-3</v>
      </c>
      <c r="M89" s="89" t="s">
        <v>114</v>
      </c>
      <c r="N89" s="55"/>
    </row>
    <row r="90" spans="2:14" ht="19.5" customHeight="1" x14ac:dyDescent="0.25">
      <c r="B90" s="151">
        <v>86</v>
      </c>
      <c r="C90" s="152">
        <v>102</v>
      </c>
      <c r="D90" s="153" t="s">
        <v>285</v>
      </c>
      <c r="E90" s="154" t="s">
        <v>286</v>
      </c>
      <c r="F90" s="155">
        <v>753583.61</v>
      </c>
      <c r="G90" s="156">
        <v>99155.74</v>
      </c>
      <c r="H90" s="157">
        <v>2.5000000000000001E-3</v>
      </c>
      <c r="I90" s="135">
        <f>389464</f>
        <v>389464</v>
      </c>
      <c r="J90" s="98">
        <f t="shared" si="8"/>
        <v>51245.26315789474</v>
      </c>
      <c r="K90" s="136">
        <f t="shared" si="6"/>
        <v>0.51681591111038094</v>
      </c>
      <c r="L90" s="100">
        <f t="shared" si="7"/>
        <v>1.2811315789473684E-3</v>
      </c>
      <c r="M90" s="100"/>
      <c r="N90" s="55"/>
    </row>
    <row r="91" spans="2:14" ht="30" x14ac:dyDescent="0.25">
      <c r="B91" s="158">
        <v>87</v>
      </c>
      <c r="C91" s="159">
        <v>50</v>
      </c>
      <c r="D91" s="160" t="s">
        <v>287</v>
      </c>
      <c r="E91" s="161" t="s">
        <v>288</v>
      </c>
      <c r="F91" s="162">
        <v>6348698.1500000004</v>
      </c>
      <c r="G91" s="163">
        <v>835355.02</v>
      </c>
      <c r="H91" s="164">
        <v>2.0899999999999998E-2</v>
      </c>
      <c r="I91" s="165">
        <v>0</v>
      </c>
      <c r="J91" s="120">
        <f t="shared" si="8"/>
        <v>0</v>
      </c>
      <c r="K91" s="166">
        <f t="shared" si="6"/>
        <v>0</v>
      </c>
      <c r="L91" s="122">
        <f t="shared" si="7"/>
        <v>0</v>
      </c>
      <c r="M91" s="123" t="s">
        <v>166</v>
      </c>
      <c r="N91" s="123" t="s">
        <v>289</v>
      </c>
    </row>
    <row r="92" spans="2:14" ht="24" customHeight="1" x14ac:dyDescent="0.25">
      <c r="B92" s="144">
        <v>88</v>
      </c>
      <c r="C92" s="145">
        <v>23</v>
      </c>
      <c r="D92" s="1182" t="s">
        <v>290</v>
      </c>
      <c r="E92" s="147" t="s">
        <v>291</v>
      </c>
      <c r="F92" s="1183">
        <v>3142585.4</v>
      </c>
      <c r="G92" s="107">
        <v>413498.08</v>
      </c>
      <c r="H92" s="108">
        <v>1.03E-2</v>
      </c>
      <c r="I92" s="87">
        <f>16991.5+493995.21+576307.94+744013.01+417657.82+61042.09</f>
        <v>2310007.5699999998</v>
      </c>
      <c r="J92" s="87">
        <f t="shared" si="8"/>
        <v>303948.36447368423</v>
      </c>
      <c r="K92" s="143">
        <f t="shared" si="6"/>
        <v>0.73506596511267441</v>
      </c>
      <c r="L92" s="89">
        <f t="shared" si="7"/>
        <v>7.5987091118421045E-3</v>
      </c>
      <c r="M92" s="89" t="s">
        <v>114</v>
      </c>
      <c r="N92" s="55"/>
    </row>
    <row r="93" spans="2:14" ht="30.75" customHeight="1" thickBot="1" x14ac:dyDescent="0.3">
      <c r="B93" s="151">
        <v>89</v>
      </c>
      <c r="C93" s="152">
        <v>8</v>
      </c>
      <c r="D93" s="167" t="s">
        <v>292</v>
      </c>
      <c r="E93" s="154" t="s">
        <v>293</v>
      </c>
      <c r="F93" s="168">
        <v>885080.85</v>
      </c>
      <c r="G93" s="169">
        <f t="shared" ref="G93" si="9">F93/7.6</f>
        <v>116458.00657894737</v>
      </c>
      <c r="H93" s="97">
        <f>F93/E2</f>
        <v>2.9114501644736841E-3</v>
      </c>
      <c r="I93" s="135"/>
      <c r="J93" s="170">
        <f t="shared" si="8"/>
        <v>0</v>
      </c>
      <c r="K93" s="171">
        <f t="shared" si="6"/>
        <v>0</v>
      </c>
      <c r="L93" s="172">
        <f t="shared" si="7"/>
        <v>0</v>
      </c>
      <c r="M93" s="172"/>
      <c r="N93" s="55"/>
    </row>
    <row r="94" spans="2:14" ht="34.35" customHeight="1" thickBot="1" x14ac:dyDescent="0.3">
      <c r="B94" s="173"/>
      <c r="C94" s="173"/>
      <c r="E94" s="174" t="s">
        <v>294</v>
      </c>
      <c r="F94" s="175">
        <f>SUM(F5:F93)</f>
        <v>303730303.56999993</v>
      </c>
      <c r="G94" s="176">
        <f t="shared" ref="G94:H94" si="10">SUM(G5:G93)</f>
        <v>39749960.381315798</v>
      </c>
      <c r="H94" s="177">
        <f t="shared" si="10"/>
        <v>0.99365803128289487</v>
      </c>
      <c r="I94" s="423">
        <f>SUM(I5:I93)</f>
        <v>226475388.07000002</v>
      </c>
      <c r="J94" s="423">
        <f>SUM(J5:J93)</f>
        <v>29799393.167105261</v>
      </c>
      <c r="K94" s="424">
        <f>I94/F94</f>
        <v>0.74564633626622911</v>
      </c>
      <c r="L94" s="55"/>
      <c r="M94" s="55"/>
    </row>
    <row r="95" spans="2:14" x14ac:dyDescent="0.25">
      <c r="F95" s="179"/>
      <c r="G95" s="180"/>
      <c r="H95" s="181"/>
      <c r="I95" s="55"/>
      <c r="J95" s="55"/>
      <c r="K95" s="55"/>
      <c r="L95" s="55"/>
      <c r="M95" s="55"/>
      <c r="N95" s="964"/>
    </row>
    <row r="96" spans="2:14" x14ac:dyDescent="0.25">
      <c r="B96"/>
      <c r="C96"/>
      <c r="D96"/>
      <c r="E96"/>
    </row>
    <row r="97" spans="2:9" x14ac:dyDescent="0.25">
      <c r="B97"/>
      <c r="C97"/>
      <c r="D97"/>
      <c r="E97"/>
      <c r="I97" s="182"/>
    </row>
    <row r="98" spans="2:9" x14ac:dyDescent="0.25">
      <c r="B98"/>
      <c r="C98"/>
      <c r="D98"/>
      <c r="E98"/>
      <c r="I98" s="182"/>
    </row>
    <row r="99" spans="2:9" x14ac:dyDescent="0.25">
      <c r="B99"/>
      <c r="C99"/>
      <c r="D99"/>
      <c r="E99"/>
      <c r="I99" s="182"/>
    </row>
    <row r="100" spans="2:9" x14ac:dyDescent="0.25">
      <c r="B100"/>
      <c r="C100"/>
      <c r="D100"/>
      <c r="E100"/>
      <c r="I100" s="1011"/>
    </row>
    <row r="101" spans="2:9" x14ac:dyDescent="0.25">
      <c r="B101"/>
      <c r="C101"/>
      <c r="D101"/>
      <c r="E101"/>
      <c r="H101" s="72"/>
      <c r="I101" s="182"/>
    </row>
    <row r="102" spans="2:9" x14ac:dyDescent="0.25">
      <c r="B102"/>
      <c r="C102"/>
      <c r="D102"/>
      <c r="E102"/>
    </row>
    <row r="103" spans="2:9" x14ac:dyDescent="0.25">
      <c r="B103"/>
      <c r="C103"/>
      <c r="D103"/>
      <c r="E103"/>
      <c r="I103" s="182"/>
    </row>
    <row r="104" spans="2:9" x14ac:dyDescent="0.25">
      <c r="B104"/>
      <c r="C104"/>
      <c r="D104"/>
      <c r="E104"/>
      <c r="I104" s="1261"/>
    </row>
    <row r="105" spans="2:9" x14ac:dyDescent="0.25">
      <c r="I105" s="1262"/>
    </row>
    <row r="109" spans="2:9" x14ac:dyDescent="0.25">
      <c r="I109" s="182"/>
    </row>
    <row r="113" spans="9:9" x14ac:dyDescent="0.25">
      <c r="I113" s="1263"/>
    </row>
  </sheetData>
  <pageMargins left="0.7" right="0.7" top="0.75" bottom="0.75" header="0.3" footer="0.3"/>
  <pageSetup paperSize="8"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6"/>
  <sheetViews>
    <sheetView topLeftCell="A76" zoomScale="80" zoomScaleNormal="80" workbookViewId="0">
      <selection activeCell="C10" sqref="C10"/>
    </sheetView>
  </sheetViews>
  <sheetFormatPr defaultColWidth="9.140625" defaultRowHeight="15" x14ac:dyDescent="0.25"/>
  <cols>
    <col min="1" max="1" width="2.85546875" style="111" customWidth="1"/>
    <col min="2" max="2" width="9.7109375" style="111" bestFit="1" customWidth="1"/>
    <col min="3" max="3" width="18.42578125" style="111" customWidth="1"/>
    <col min="4" max="4" width="38.42578125" style="264" customWidth="1"/>
    <col min="5" max="5" width="33" style="264" customWidth="1"/>
    <col min="6" max="6" width="32.28515625" style="264" bestFit="1" customWidth="1"/>
    <col min="7" max="7" width="18" style="111" bestFit="1" customWidth="1"/>
    <col min="8" max="8" width="14.140625" style="111" bestFit="1" customWidth="1"/>
    <col min="9" max="9" width="15.85546875" style="111" bestFit="1" customWidth="1"/>
    <col min="10" max="10" width="14.85546875" style="111" bestFit="1" customWidth="1"/>
    <col min="11" max="11" width="17.5703125" style="111" bestFit="1" customWidth="1"/>
    <col min="12" max="12" width="14.140625" style="111" bestFit="1" customWidth="1"/>
    <col min="13" max="13" width="27.7109375" style="55" bestFit="1" customWidth="1"/>
    <col min="14" max="16" width="9.140625" style="111"/>
    <col min="17" max="17" width="14.85546875" style="111" customWidth="1"/>
    <col min="18" max="16384" width="9.140625" style="111"/>
  </cols>
  <sheetData>
    <row r="1" spans="1:17" ht="15.75" x14ac:dyDescent="0.25">
      <c r="A1" s="55">
        <v>12</v>
      </c>
      <c r="B1" s="55"/>
      <c r="C1" s="55"/>
      <c r="D1" s="183" t="s">
        <v>295</v>
      </c>
      <c r="E1" s="184" t="s">
        <v>100</v>
      </c>
      <c r="F1" s="185"/>
      <c r="G1" s="1" t="s">
        <v>2127</v>
      </c>
      <c r="H1" s="55"/>
      <c r="I1" s="55"/>
      <c r="J1" s="55"/>
      <c r="K1" s="55"/>
      <c r="L1" s="55"/>
      <c r="N1" s="55"/>
    </row>
    <row r="2" spans="1:17" x14ac:dyDescent="0.25">
      <c r="A2" s="55"/>
      <c r="B2" s="55"/>
      <c r="C2" s="55"/>
      <c r="D2" s="183" t="s">
        <v>101</v>
      </c>
      <c r="E2" s="186">
        <v>220000000</v>
      </c>
      <c r="F2" s="187"/>
      <c r="G2" s="55"/>
      <c r="H2" s="55"/>
      <c r="I2" s="55"/>
      <c r="J2" s="55"/>
      <c r="K2" s="55"/>
      <c r="L2" s="55"/>
      <c r="N2" s="55"/>
    </row>
    <row r="3" spans="1:17" ht="15.75" thickBot="1" x14ac:dyDescent="0.3">
      <c r="A3" s="55"/>
      <c r="B3" s="188"/>
      <c r="C3" s="55"/>
      <c r="D3" s="189"/>
      <c r="E3" s="58"/>
      <c r="F3" s="190"/>
      <c r="G3" s="55"/>
      <c r="H3" s="55"/>
      <c r="I3" s="55"/>
      <c r="J3" s="55"/>
      <c r="K3" s="55"/>
      <c r="L3" s="55"/>
      <c r="N3" s="55"/>
    </row>
    <row r="4" spans="1:17" ht="30.75" thickBot="1" x14ac:dyDescent="0.3">
      <c r="A4" s="55"/>
      <c r="B4" s="191" t="s">
        <v>102</v>
      </c>
      <c r="C4" s="192" t="s">
        <v>103</v>
      </c>
      <c r="D4" s="191" t="s">
        <v>104</v>
      </c>
      <c r="E4" s="191" t="s">
        <v>105</v>
      </c>
      <c r="F4" s="193" t="s">
        <v>106</v>
      </c>
      <c r="G4" s="194" t="s">
        <v>107</v>
      </c>
      <c r="H4" s="191" t="s">
        <v>108</v>
      </c>
      <c r="I4" s="193" t="s">
        <v>9</v>
      </c>
      <c r="J4" s="194" t="s">
        <v>109</v>
      </c>
      <c r="K4" s="194" t="s">
        <v>110</v>
      </c>
      <c r="L4" s="194" t="s">
        <v>108</v>
      </c>
      <c r="M4" s="195" t="s">
        <v>111</v>
      </c>
      <c r="N4" s="55"/>
    </row>
    <row r="5" spans="1:17" ht="55.5" customHeight="1" x14ac:dyDescent="0.25">
      <c r="A5" s="55"/>
      <c r="B5" s="196">
        <v>1</v>
      </c>
      <c r="C5" s="197" t="s">
        <v>296</v>
      </c>
      <c r="D5" s="198" t="s">
        <v>297</v>
      </c>
      <c r="E5" s="198" t="s">
        <v>298</v>
      </c>
      <c r="F5" s="199">
        <v>1124690.58</v>
      </c>
      <c r="G5" s="200">
        <f>F5/7.6</f>
        <v>147985.60263157898</v>
      </c>
      <c r="H5" s="201">
        <f t="shared" ref="H5:H69" si="0">F5/220000000</f>
        <v>5.1122299090909096E-3</v>
      </c>
      <c r="I5" s="202">
        <f>655437.15+315843.83</f>
        <v>971280.98</v>
      </c>
      <c r="J5" s="202">
        <f>I5/7.6</f>
        <v>127800.12894736843</v>
      </c>
      <c r="K5" s="203">
        <f t="shared" ref="K5:K68" si="1">I5/F5</f>
        <v>0.86359839521373061</v>
      </c>
      <c r="L5" s="203">
        <f>I5/220000000</f>
        <v>4.4149135454545456E-3</v>
      </c>
      <c r="M5" s="204"/>
      <c r="N5" s="55"/>
    </row>
    <row r="6" spans="1:17" ht="60" x14ac:dyDescent="0.25">
      <c r="A6" s="55"/>
      <c r="B6" s="205">
        <v>2</v>
      </c>
      <c r="C6" s="206" t="s">
        <v>299</v>
      </c>
      <c r="D6" s="207" t="s">
        <v>300</v>
      </c>
      <c r="E6" s="207" t="s">
        <v>301</v>
      </c>
      <c r="F6" s="208">
        <v>680039.15</v>
      </c>
      <c r="G6" s="209">
        <f t="shared" ref="G6:G69" si="2">F6/7.6</f>
        <v>89478.835526315801</v>
      </c>
      <c r="H6" s="210">
        <f t="shared" si="0"/>
        <v>3.0910870454545457E-3</v>
      </c>
      <c r="I6" s="211">
        <f>80750+255175+213883.14+126655.49</f>
        <v>676463.63</v>
      </c>
      <c r="J6" s="212">
        <f t="shared" ref="J6:J69" si="3">I6/7.6</f>
        <v>89008.372368421056</v>
      </c>
      <c r="K6" s="213">
        <f t="shared" si="1"/>
        <v>0.99474218506390399</v>
      </c>
      <c r="L6" s="214">
        <f t="shared" ref="L6:L69" si="4">I6/220000000</f>
        <v>3.074834681818182E-3</v>
      </c>
      <c r="M6" s="131" t="s">
        <v>302</v>
      </c>
      <c r="N6" s="55"/>
    </row>
    <row r="7" spans="1:17" ht="60" x14ac:dyDescent="0.25">
      <c r="A7" s="55"/>
      <c r="B7" s="205">
        <v>3</v>
      </c>
      <c r="C7" s="206" t="s">
        <v>303</v>
      </c>
      <c r="D7" s="207" t="s">
        <v>304</v>
      </c>
      <c r="E7" s="207" t="s">
        <v>305</v>
      </c>
      <c r="F7" s="215">
        <v>560239.89</v>
      </c>
      <c r="G7" s="209">
        <f t="shared" si="2"/>
        <v>73715.775000000009</v>
      </c>
      <c r="H7" s="210">
        <f t="shared" si="0"/>
        <v>2.5465449545454548E-3</v>
      </c>
      <c r="I7" s="211">
        <f>77894+357552.96+82946.55+40562.98</f>
        <v>558956.49</v>
      </c>
      <c r="J7" s="212">
        <f t="shared" si="3"/>
        <v>73546.906578947368</v>
      </c>
      <c r="K7" s="213">
        <f t="shared" si="1"/>
        <v>0.99770919560904525</v>
      </c>
      <c r="L7" s="214">
        <f t="shared" si="4"/>
        <v>2.5407113181818183E-3</v>
      </c>
      <c r="M7" s="131" t="s">
        <v>302</v>
      </c>
      <c r="N7" s="55"/>
    </row>
    <row r="8" spans="1:17" ht="45" x14ac:dyDescent="0.25">
      <c r="A8" s="55"/>
      <c r="B8" s="228">
        <v>4</v>
      </c>
      <c r="C8" s="206" t="s">
        <v>306</v>
      </c>
      <c r="D8" s="207" t="s">
        <v>307</v>
      </c>
      <c r="E8" s="207" t="s">
        <v>308</v>
      </c>
      <c r="F8" s="208">
        <v>549070.75</v>
      </c>
      <c r="G8" s="209">
        <f t="shared" si="2"/>
        <v>72246.151315789481</v>
      </c>
      <c r="H8" s="210">
        <f t="shared" si="0"/>
        <v>2.4957761363636364E-3</v>
      </c>
      <c r="I8" s="211">
        <f>44115+109814.15+117608.4+70342.86+123569.3+79002.35+2741.25</f>
        <v>547193.30999999994</v>
      </c>
      <c r="J8" s="212">
        <f t="shared" si="3"/>
        <v>71999.119736842098</v>
      </c>
      <c r="K8" s="213">
        <f t="shared" si="1"/>
        <v>0.99658069565716245</v>
      </c>
      <c r="L8" s="214">
        <f t="shared" si="4"/>
        <v>2.4872423181818179E-3</v>
      </c>
      <c r="M8" s="131" t="s">
        <v>302</v>
      </c>
      <c r="N8" s="55"/>
      <c r="Q8" s="224"/>
    </row>
    <row r="9" spans="1:17" ht="45" x14ac:dyDescent="0.25">
      <c r="A9" s="55"/>
      <c r="B9" s="205">
        <v>5</v>
      </c>
      <c r="C9" s="206" t="s">
        <v>309</v>
      </c>
      <c r="D9" s="207" t="s">
        <v>310</v>
      </c>
      <c r="E9" s="207" t="s">
        <v>311</v>
      </c>
      <c r="F9" s="225">
        <v>435057.44</v>
      </c>
      <c r="G9" s="209">
        <f t="shared" si="2"/>
        <v>57244.4</v>
      </c>
      <c r="H9" s="1222">
        <f t="shared" si="0"/>
        <v>1.9775338181818184E-3</v>
      </c>
      <c r="I9" s="211">
        <f>218161.74+122702.49+48875</f>
        <v>389739.23</v>
      </c>
      <c r="J9" s="212">
        <f t="shared" si="3"/>
        <v>51281.47763157895</v>
      </c>
      <c r="K9" s="213">
        <f t="shared" si="1"/>
        <v>0.89583396160286322</v>
      </c>
      <c r="L9" s="214">
        <f t="shared" si="4"/>
        <v>1.7715419545454544E-3</v>
      </c>
      <c r="M9" s="131" t="s">
        <v>302</v>
      </c>
      <c r="N9" s="55"/>
    </row>
    <row r="10" spans="1:17" ht="45" x14ac:dyDescent="0.25">
      <c r="A10" s="55"/>
      <c r="B10" s="226">
        <v>6</v>
      </c>
      <c r="C10" s="217" t="s">
        <v>312</v>
      </c>
      <c r="D10" s="198" t="s">
        <v>313</v>
      </c>
      <c r="E10" s="198" t="s">
        <v>314</v>
      </c>
      <c r="F10" s="227">
        <v>1949250.58</v>
      </c>
      <c r="G10" s="219">
        <f t="shared" si="2"/>
        <v>256480.33947368423</v>
      </c>
      <c r="H10" s="1223">
        <f t="shared" si="0"/>
        <v>8.8602299090909092E-3</v>
      </c>
      <c r="I10" s="127">
        <f>119637.5+10200+13600+389850.11+342227.84+595327.14+379534.09+30600</f>
        <v>1880976.68</v>
      </c>
      <c r="J10" s="220">
        <f t="shared" si="3"/>
        <v>247496.93157894738</v>
      </c>
      <c r="K10" s="221">
        <f t="shared" si="1"/>
        <v>0.96497428257787143</v>
      </c>
      <c r="L10" s="222">
        <f t="shared" si="4"/>
        <v>8.5498939999999989E-3</v>
      </c>
      <c r="M10" s="223"/>
      <c r="N10" s="55"/>
    </row>
    <row r="11" spans="1:17" ht="45" x14ac:dyDescent="0.25">
      <c r="A11" s="55"/>
      <c r="B11" s="216">
        <v>7</v>
      </c>
      <c r="C11" s="217" t="s">
        <v>315</v>
      </c>
      <c r="D11" s="198" t="s">
        <v>316</v>
      </c>
      <c r="E11" s="198" t="s">
        <v>317</v>
      </c>
      <c r="F11" s="218">
        <v>4817109.5</v>
      </c>
      <c r="G11" s="219">
        <f t="shared" si="2"/>
        <v>633830.19736842113</v>
      </c>
      <c r="H11" s="1223">
        <f t="shared" si="0"/>
        <v>2.1895952272727271E-2</v>
      </c>
      <c r="I11" s="127">
        <f>114750+963421.9+148819.98+5152.3+388177.07+1031103.64+2144536.72</f>
        <v>4795961.6100000003</v>
      </c>
      <c r="J11" s="220">
        <f t="shared" si="3"/>
        <v>631047.58026315796</v>
      </c>
      <c r="K11" s="221">
        <f t="shared" si="1"/>
        <v>0.995609838223524</v>
      </c>
      <c r="L11" s="222">
        <f t="shared" si="4"/>
        <v>2.1799825500000002E-2</v>
      </c>
      <c r="M11" s="223"/>
      <c r="N11" s="55"/>
    </row>
    <row r="12" spans="1:17" ht="30" x14ac:dyDescent="0.25">
      <c r="A12" s="55"/>
      <c r="B12" s="205">
        <v>8</v>
      </c>
      <c r="C12" s="206" t="s">
        <v>318</v>
      </c>
      <c r="D12" s="207" t="s">
        <v>319</v>
      </c>
      <c r="E12" s="207" t="s">
        <v>320</v>
      </c>
      <c r="F12" s="208">
        <v>2469965.7599999998</v>
      </c>
      <c r="G12" s="209">
        <f t="shared" si="2"/>
        <v>324995.49473684211</v>
      </c>
      <c r="H12" s="1222">
        <f t="shared" si="0"/>
        <v>1.1227117090909089E-2</v>
      </c>
      <c r="I12" s="211">
        <f>13706.25+2065403.54+390855.97</f>
        <v>2469965.7599999998</v>
      </c>
      <c r="J12" s="212">
        <f t="shared" si="3"/>
        <v>324995.49473684211</v>
      </c>
      <c r="K12" s="213">
        <f t="shared" si="1"/>
        <v>1</v>
      </c>
      <c r="L12" s="214">
        <f t="shared" si="4"/>
        <v>1.1227117090909089E-2</v>
      </c>
      <c r="M12" s="131" t="s">
        <v>302</v>
      </c>
      <c r="N12" s="55"/>
    </row>
    <row r="13" spans="1:17" ht="45" x14ac:dyDescent="0.25">
      <c r="A13" s="55"/>
      <c r="B13" s="226">
        <v>9</v>
      </c>
      <c r="C13" s="217" t="s">
        <v>321</v>
      </c>
      <c r="D13" s="198" t="s">
        <v>322</v>
      </c>
      <c r="E13" s="198" t="s">
        <v>323</v>
      </c>
      <c r="F13" s="218">
        <v>3722000.6</v>
      </c>
      <c r="G13" s="219">
        <f t="shared" si="2"/>
        <v>489736.92105263163</v>
      </c>
      <c r="H13" s="1223">
        <f t="shared" si="0"/>
        <v>1.6918184545454545E-2</v>
      </c>
      <c r="I13" s="127">
        <f>300220+2384391.6+717268.86</f>
        <v>3401880.46</v>
      </c>
      <c r="J13" s="220">
        <f t="shared" si="3"/>
        <v>447615.85000000003</v>
      </c>
      <c r="K13" s="221">
        <f t="shared" si="1"/>
        <v>0.91399245341336055</v>
      </c>
      <c r="L13" s="222">
        <f t="shared" si="4"/>
        <v>1.5463093000000001E-2</v>
      </c>
      <c r="M13" s="223"/>
      <c r="N13" s="55"/>
    </row>
    <row r="14" spans="1:17" ht="45" x14ac:dyDescent="0.25">
      <c r="A14" s="55"/>
      <c r="B14" s="216">
        <v>10</v>
      </c>
      <c r="C14" s="217" t="s">
        <v>324</v>
      </c>
      <c r="D14" s="198" t="s">
        <v>325</v>
      </c>
      <c r="E14" s="198" t="s">
        <v>326</v>
      </c>
      <c r="F14" s="227">
        <v>724522.5</v>
      </c>
      <c r="G14" s="219">
        <f t="shared" si="2"/>
        <v>95331.90789473684</v>
      </c>
      <c r="H14" s="1223">
        <f t="shared" si="0"/>
        <v>3.2932840909090911E-3</v>
      </c>
      <c r="I14" s="127">
        <f>33830+377818+184887.5</f>
        <v>596535.5</v>
      </c>
      <c r="J14" s="220">
        <f t="shared" si="3"/>
        <v>78491.513157894748</v>
      </c>
      <c r="K14" s="221">
        <f t="shared" si="1"/>
        <v>0.82334986146047917</v>
      </c>
      <c r="L14" s="222">
        <f t="shared" si="4"/>
        <v>2.7115249999999998E-3</v>
      </c>
      <c r="M14" s="1224"/>
      <c r="N14" s="55"/>
    </row>
    <row r="15" spans="1:17" ht="45" x14ac:dyDescent="0.25">
      <c r="A15" s="55"/>
      <c r="B15" s="226">
        <v>11</v>
      </c>
      <c r="C15" s="217" t="s">
        <v>327</v>
      </c>
      <c r="D15" s="198" t="s">
        <v>328</v>
      </c>
      <c r="E15" s="198" t="s">
        <v>329</v>
      </c>
      <c r="F15" s="218">
        <v>740614.75</v>
      </c>
      <c r="G15" s="219">
        <f t="shared" si="2"/>
        <v>97449.30921052632</v>
      </c>
      <c r="H15" s="1223">
        <f t="shared" si="0"/>
        <v>3.3664306818181819E-3</v>
      </c>
      <c r="I15" s="127">
        <f>17000+9031.25+18062.5+107119.51+357080.37+42395.75+9031.25</f>
        <v>559720.63</v>
      </c>
      <c r="J15" s="220">
        <f t="shared" si="3"/>
        <v>73647.451315789483</v>
      </c>
      <c r="K15" s="221">
        <f t="shared" si="1"/>
        <v>0.75575139436528915</v>
      </c>
      <c r="L15" s="222">
        <f t="shared" si="4"/>
        <v>2.5441846818181819E-3</v>
      </c>
      <c r="M15" s="223"/>
      <c r="N15" s="55"/>
    </row>
    <row r="16" spans="1:17" ht="45" x14ac:dyDescent="0.25">
      <c r="A16" s="55"/>
      <c r="B16" s="228">
        <v>12</v>
      </c>
      <c r="C16" s="206" t="s">
        <v>330</v>
      </c>
      <c r="D16" s="207" t="s">
        <v>331</v>
      </c>
      <c r="E16" s="207" t="s">
        <v>332</v>
      </c>
      <c r="F16" s="229">
        <v>1221093.8</v>
      </c>
      <c r="G16" s="209">
        <f t="shared" si="2"/>
        <v>160670.23684210528</v>
      </c>
      <c r="H16" s="1222">
        <f t="shared" si="0"/>
        <v>5.5504263636363639E-3</v>
      </c>
      <c r="I16" s="211">
        <f>85170+1040964.96+1904.75</f>
        <v>1128039.71</v>
      </c>
      <c r="J16" s="212">
        <f t="shared" si="3"/>
        <v>148426.27763157894</v>
      </c>
      <c r="K16" s="213">
        <f t="shared" si="1"/>
        <v>0.92379447836030282</v>
      </c>
      <c r="L16" s="214">
        <f t="shared" si="4"/>
        <v>5.1274532272727272E-3</v>
      </c>
      <c r="M16" s="131" t="s">
        <v>302</v>
      </c>
      <c r="N16" s="55"/>
    </row>
    <row r="17" spans="1:14" ht="60" x14ac:dyDescent="0.25">
      <c r="A17" s="55"/>
      <c r="B17" s="226">
        <v>13</v>
      </c>
      <c r="C17" s="217" t="s">
        <v>333</v>
      </c>
      <c r="D17" s="198" t="s">
        <v>334</v>
      </c>
      <c r="E17" s="198" t="s">
        <v>335</v>
      </c>
      <c r="F17" s="218">
        <v>5403449.7699999996</v>
      </c>
      <c r="G17" s="219">
        <f t="shared" si="2"/>
        <v>710980.23289473681</v>
      </c>
      <c r="H17" s="1223">
        <f t="shared" si="0"/>
        <v>2.4561135318181816E-2</v>
      </c>
      <c r="I17" s="127">
        <f>462922.64+3359211.81</f>
        <v>3822134.45</v>
      </c>
      <c r="J17" s="220">
        <f t="shared" si="3"/>
        <v>502912.42763157899</v>
      </c>
      <c r="K17" s="221">
        <f t="shared" si="1"/>
        <v>0.70735078749515246</v>
      </c>
      <c r="L17" s="222">
        <f t="shared" si="4"/>
        <v>1.7373338409090909E-2</v>
      </c>
      <c r="M17" s="223"/>
      <c r="N17" s="55"/>
    </row>
    <row r="18" spans="1:14" ht="45" x14ac:dyDescent="0.25">
      <c r="A18" s="55"/>
      <c r="B18" s="226">
        <v>14</v>
      </c>
      <c r="C18" s="217" t="s">
        <v>336</v>
      </c>
      <c r="D18" s="198" t="s">
        <v>337</v>
      </c>
      <c r="E18" s="198" t="s">
        <v>338</v>
      </c>
      <c r="F18" s="218">
        <v>1273110</v>
      </c>
      <c r="G18" s="219">
        <f t="shared" si="2"/>
        <v>167514.47368421053</v>
      </c>
      <c r="H18" s="1223">
        <f t="shared" si="0"/>
        <v>5.786863636363636E-3</v>
      </c>
      <c r="I18" s="127">
        <f>19550+25500+17000+17000+8500+8500+17000</f>
        <v>113050</v>
      </c>
      <c r="J18" s="220">
        <f t="shared" si="3"/>
        <v>14875</v>
      </c>
      <c r="K18" s="221">
        <f t="shared" si="1"/>
        <v>8.8798297083519884E-2</v>
      </c>
      <c r="L18" s="222">
        <f t="shared" si="4"/>
        <v>5.1386363636363641E-4</v>
      </c>
      <c r="M18" s="223"/>
      <c r="N18" s="55"/>
    </row>
    <row r="19" spans="1:14" ht="60" x14ac:dyDescent="0.25">
      <c r="A19" s="55"/>
      <c r="B19" s="228">
        <v>15</v>
      </c>
      <c r="C19" s="206" t="s">
        <v>339</v>
      </c>
      <c r="D19" s="207" t="s">
        <v>340</v>
      </c>
      <c r="E19" s="207" t="s">
        <v>341</v>
      </c>
      <c r="F19" s="208">
        <v>338561.5</v>
      </c>
      <c r="G19" s="209">
        <f t="shared" si="2"/>
        <v>44547.565789473687</v>
      </c>
      <c r="H19" s="1222">
        <f t="shared" si="0"/>
        <v>1.5389159090909092E-3</v>
      </c>
      <c r="I19" s="211">
        <f>24565+309534+4462.46</f>
        <v>338561.46</v>
      </c>
      <c r="J19" s="212">
        <f t="shared" si="3"/>
        <v>44547.560526315792</v>
      </c>
      <c r="K19" s="213">
        <f t="shared" si="1"/>
        <v>0.99999988185307553</v>
      </c>
      <c r="L19" s="214">
        <f t="shared" si="4"/>
        <v>1.5389157272727274E-3</v>
      </c>
      <c r="M19" s="131" t="s">
        <v>302</v>
      </c>
      <c r="N19" s="55"/>
    </row>
    <row r="20" spans="1:14" ht="45" x14ac:dyDescent="0.25">
      <c r="A20" s="55"/>
      <c r="B20" s="226">
        <v>16</v>
      </c>
      <c r="C20" s="217" t="s">
        <v>342</v>
      </c>
      <c r="D20" s="198" t="s">
        <v>343</v>
      </c>
      <c r="E20" s="198" t="s">
        <v>344</v>
      </c>
      <c r="F20" s="230">
        <v>1060395.8</v>
      </c>
      <c r="G20" s="219">
        <f t="shared" si="2"/>
        <v>139525.76315789475</v>
      </c>
      <c r="H20" s="1223">
        <f t="shared" si="0"/>
        <v>4.8199809090909091E-3</v>
      </c>
      <c r="I20" s="127">
        <f>33830+697828.6+191825.2</f>
        <v>923483.8</v>
      </c>
      <c r="J20" s="220">
        <f t="shared" si="3"/>
        <v>121511.02631578948</v>
      </c>
      <c r="K20" s="221">
        <f t="shared" si="1"/>
        <v>0.87088594654939222</v>
      </c>
      <c r="L20" s="222">
        <f t="shared" si="4"/>
        <v>4.1976536363636362E-3</v>
      </c>
      <c r="M20" s="223"/>
      <c r="N20" s="55"/>
    </row>
    <row r="21" spans="1:14" ht="45" x14ac:dyDescent="0.25">
      <c r="A21" s="55"/>
      <c r="B21" s="226">
        <v>17</v>
      </c>
      <c r="C21" s="217" t="s">
        <v>345</v>
      </c>
      <c r="D21" s="198" t="s">
        <v>346</v>
      </c>
      <c r="E21" s="198" t="s">
        <v>347</v>
      </c>
      <c r="F21" s="230">
        <v>1309877.01</v>
      </c>
      <c r="G21" s="219">
        <f t="shared" si="2"/>
        <v>172352.23815789475</v>
      </c>
      <c r="H21" s="1223">
        <f t="shared" si="0"/>
        <v>5.9539864090909092E-3</v>
      </c>
      <c r="I21" s="127">
        <f>59499.99+261975.4+244359.26+660868.77+12158.1</f>
        <v>1238861.52</v>
      </c>
      <c r="J21" s="220">
        <f t="shared" si="3"/>
        <v>163008.09473684212</v>
      </c>
      <c r="K21" s="221">
        <f t="shared" si="1"/>
        <v>0.94578461225149679</v>
      </c>
      <c r="L21" s="222">
        <f t="shared" si="4"/>
        <v>5.6311887272727269E-3</v>
      </c>
      <c r="M21" s="223"/>
      <c r="N21" s="55"/>
    </row>
    <row r="22" spans="1:14" ht="60" x14ac:dyDescent="0.25">
      <c r="A22" s="55"/>
      <c r="B22" s="228">
        <v>18</v>
      </c>
      <c r="C22" s="206" t="s">
        <v>348</v>
      </c>
      <c r="D22" s="207" t="s">
        <v>349</v>
      </c>
      <c r="E22" s="207" t="s">
        <v>350</v>
      </c>
      <c r="F22" s="208">
        <v>697630.98</v>
      </c>
      <c r="G22" s="209">
        <f t="shared" si="2"/>
        <v>91793.55</v>
      </c>
      <c r="H22" s="1222">
        <f t="shared" si="0"/>
        <v>3.1710499090909089E-3</v>
      </c>
      <c r="I22" s="231">
        <f>57120+139526.19+89757.73+83956.16+292346.88+18244.68</f>
        <v>680951.64</v>
      </c>
      <c r="J22" s="212">
        <f t="shared" si="3"/>
        <v>89598.900000000009</v>
      </c>
      <c r="K22" s="213">
        <f t="shared" si="1"/>
        <v>0.97609145740632108</v>
      </c>
      <c r="L22" s="214">
        <f t="shared" si="4"/>
        <v>3.0952347272727274E-3</v>
      </c>
      <c r="M22" s="131" t="s">
        <v>302</v>
      </c>
      <c r="N22" s="55"/>
    </row>
    <row r="23" spans="1:14" ht="75" x14ac:dyDescent="0.25">
      <c r="A23" s="55"/>
      <c r="B23" s="226">
        <v>19</v>
      </c>
      <c r="C23" s="217" t="s">
        <v>351</v>
      </c>
      <c r="D23" s="198" t="s">
        <v>352</v>
      </c>
      <c r="E23" s="198" t="s">
        <v>353</v>
      </c>
      <c r="F23" s="218">
        <v>942461.26</v>
      </c>
      <c r="G23" s="219">
        <f t="shared" si="2"/>
        <v>124008.06052631579</v>
      </c>
      <c r="H23" s="1223">
        <f t="shared" si="0"/>
        <v>4.2839148181818181E-3</v>
      </c>
      <c r="I23" s="127">
        <f>14025+820950.91+7565</f>
        <v>842540.91</v>
      </c>
      <c r="J23" s="220">
        <f t="shared" si="3"/>
        <v>110860.64605263159</v>
      </c>
      <c r="K23" s="221">
        <f t="shared" si="1"/>
        <v>0.89397935571378284</v>
      </c>
      <c r="L23" s="222">
        <f>I23/220000000</f>
        <v>3.8297314090909094E-3</v>
      </c>
      <c r="M23" s="223"/>
      <c r="N23" s="55"/>
    </row>
    <row r="24" spans="1:14" ht="45" x14ac:dyDescent="0.25">
      <c r="A24" s="55"/>
      <c r="B24" s="205">
        <v>20</v>
      </c>
      <c r="C24" s="206" t="s">
        <v>354</v>
      </c>
      <c r="D24" s="207" t="s">
        <v>355</v>
      </c>
      <c r="E24" s="207" t="s">
        <v>356</v>
      </c>
      <c r="F24" s="208">
        <v>533652.19999999995</v>
      </c>
      <c r="G24" s="209">
        <f t="shared" si="2"/>
        <v>70217.394736842107</v>
      </c>
      <c r="H24" s="1222">
        <f t="shared" si="0"/>
        <v>2.4256918181818181E-3</v>
      </c>
      <c r="I24" s="211">
        <f>33830+379847.3+5250+37910</f>
        <v>456837.3</v>
      </c>
      <c r="J24" s="212">
        <f t="shared" si="3"/>
        <v>60110.17105263158</v>
      </c>
      <c r="K24" s="213">
        <f t="shared" si="1"/>
        <v>0.85605812175045848</v>
      </c>
      <c r="L24" s="214">
        <f t="shared" si="4"/>
        <v>2.0765331818181818E-3</v>
      </c>
      <c r="M24" s="131" t="s">
        <v>302</v>
      </c>
      <c r="N24" s="55"/>
    </row>
    <row r="25" spans="1:14" ht="45" x14ac:dyDescent="0.25">
      <c r="A25" s="55"/>
      <c r="B25" s="216">
        <v>21</v>
      </c>
      <c r="C25" s="217" t="s">
        <v>357</v>
      </c>
      <c r="D25" s="198" t="s">
        <v>358</v>
      </c>
      <c r="E25" s="198" t="s">
        <v>359</v>
      </c>
      <c r="F25" s="218">
        <v>1273195.1499999999</v>
      </c>
      <c r="G25" s="219">
        <f t="shared" si="2"/>
        <v>167525.67763157893</v>
      </c>
      <c r="H25" s="1223">
        <f t="shared" si="0"/>
        <v>5.7872506818181816E-3</v>
      </c>
      <c r="I25" s="127">
        <f>39100+25500+17000+18275+25500+291216.93+196381.1+148130.49</f>
        <v>761103.52</v>
      </c>
      <c r="J25" s="220">
        <f t="shared" si="3"/>
        <v>100145.20000000001</v>
      </c>
      <c r="K25" s="221">
        <f t="shared" si="1"/>
        <v>0.59779015023737725</v>
      </c>
      <c r="L25" s="222">
        <f t="shared" si="4"/>
        <v>3.4595614545454545E-3</v>
      </c>
      <c r="M25" s="223"/>
      <c r="N25" s="55"/>
    </row>
    <row r="26" spans="1:14" ht="45" x14ac:dyDescent="0.25">
      <c r="A26" s="55"/>
      <c r="B26" s="205">
        <v>22</v>
      </c>
      <c r="C26" s="206" t="s">
        <v>360</v>
      </c>
      <c r="D26" s="207" t="s">
        <v>361</v>
      </c>
      <c r="E26" s="207" t="s">
        <v>362</v>
      </c>
      <c r="F26" s="208">
        <v>348718.83</v>
      </c>
      <c r="G26" s="209">
        <f t="shared" si="2"/>
        <v>45884.056578947369</v>
      </c>
      <c r="H26" s="1222">
        <f t="shared" si="0"/>
        <v>1.5850855909090909E-3</v>
      </c>
      <c r="I26" s="211">
        <f>73100+236295.63</f>
        <v>309395.63</v>
      </c>
      <c r="J26" s="212">
        <f t="shared" si="3"/>
        <v>40709.951315789476</v>
      </c>
      <c r="K26" s="213">
        <f t="shared" si="1"/>
        <v>0.88723522615627037</v>
      </c>
      <c r="L26" s="214">
        <f t="shared" si="4"/>
        <v>1.4063437727272728E-3</v>
      </c>
      <c r="M26" s="131" t="s">
        <v>302</v>
      </c>
      <c r="N26" s="55"/>
    </row>
    <row r="27" spans="1:14" ht="30" x14ac:dyDescent="0.25">
      <c r="A27" s="55"/>
      <c r="B27" s="226">
        <v>23</v>
      </c>
      <c r="C27" s="217" t="s">
        <v>363</v>
      </c>
      <c r="D27" s="198" t="s">
        <v>364</v>
      </c>
      <c r="E27" s="198" t="s">
        <v>365</v>
      </c>
      <c r="F27" s="227">
        <v>1876218.93</v>
      </c>
      <c r="G27" s="219">
        <f t="shared" si="2"/>
        <v>246870.91184210527</v>
      </c>
      <c r="H27" s="1223">
        <f t="shared" si="0"/>
        <v>8.5282678636363629E-3</v>
      </c>
      <c r="I27" s="127">
        <f>73780+197096.79+1019516.89+224355.76+344873.33+16171.16</f>
        <v>1875793.9300000002</v>
      </c>
      <c r="J27" s="220">
        <f t="shared" si="3"/>
        <v>246814.99078947373</v>
      </c>
      <c r="K27" s="221">
        <f t="shared" si="1"/>
        <v>0.99977348059269411</v>
      </c>
      <c r="L27" s="222">
        <f t="shared" si="4"/>
        <v>8.5263360454545471E-3</v>
      </c>
      <c r="M27" s="223"/>
      <c r="N27" s="55"/>
    </row>
    <row r="28" spans="1:14" ht="45" x14ac:dyDescent="0.25">
      <c r="A28" s="55"/>
      <c r="B28" s="216">
        <v>24</v>
      </c>
      <c r="C28" s="217" t="s">
        <v>366</v>
      </c>
      <c r="D28" s="198" t="s">
        <v>367</v>
      </c>
      <c r="E28" s="198" t="s">
        <v>368</v>
      </c>
      <c r="F28" s="218">
        <v>1228145.3</v>
      </c>
      <c r="G28" s="219">
        <f t="shared" si="2"/>
        <v>161598.06578947371</v>
      </c>
      <c r="H28" s="1223">
        <f t="shared" si="0"/>
        <v>5.5824786363636364E-3</v>
      </c>
      <c r="I28" s="232">
        <f>93670+758422+315166</f>
        <v>1167258</v>
      </c>
      <c r="J28" s="220">
        <f t="shared" si="3"/>
        <v>153586.57894736843</v>
      </c>
      <c r="K28" s="221">
        <f t="shared" si="1"/>
        <v>0.95042337417242073</v>
      </c>
      <c r="L28" s="222">
        <f t="shared" si="4"/>
        <v>5.3057181818181821E-3</v>
      </c>
      <c r="M28" s="223"/>
      <c r="N28" s="55"/>
    </row>
    <row r="29" spans="1:14" ht="30" x14ac:dyDescent="0.25">
      <c r="A29" s="55"/>
      <c r="B29" s="226">
        <v>25</v>
      </c>
      <c r="C29" s="217" t="s">
        <v>369</v>
      </c>
      <c r="D29" s="198" t="s">
        <v>370</v>
      </c>
      <c r="E29" s="198" t="s">
        <v>371</v>
      </c>
      <c r="F29" s="227">
        <v>832780.85</v>
      </c>
      <c r="G29" s="219">
        <f t="shared" si="2"/>
        <v>109576.42763157895</v>
      </c>
      <c r="H29" s="1223">
        <f t="shared" si="0"/>
        <v>3.7853674999999997E-3</v>
      </c>
      <c r="I29" s="233">
        <f>27200+8492.35</f>
        <v>35692.35</v>
      </c>
      <c r="J29" s="220">
        <f t="shared" si="3"/>
        <v>4696.3618421052633</v>
      </c>
      <c r="K29" s="221">
        <f t="shared" si="1"/>
        <v>4.2859234815497978E-2</v>
      </c>
      <c r="L29" s="222">
        <f t="shared" si="4"/>
        <v>1.6223795454545453E-4</v>
      </c>
      <c r="M29" s="223"/>
      <c r="N29" s="55"/>
    </row>
    <row r="30" spans="1:14" ht="36.75" customHeight="1" x14ac:dyDescent="0.25">
      <c r="A30" s="55"/>
      <c r="B30" s="226">
        <v>26</v>
      </c>
      <c r="C30" s="217" t="s">
        <v>372</v>
      </c>
      <c r="D30" s="234" t="s">
        <v>373</v>
      </c>
      <c r="E30" s="198" t="s">
        <v>374</v>
      </c>
      <c r="F30" s="218">
        <v>428978.82</v>
      </c>
      <c r="G30" s="219">
        <f t="shared" si="2"/>
        <v>56444.581578947371</v>
      </c>
      <c r="H30" s="1223">
        <f t="shared" si="0"/>
        <v>1.9499037272727273E-3</v>
      </c>
      <c r="I30" s="127">
        <f>15300+12070+11220+80939.74+140541.07+16830+45249.02+54391.5</f>
        <v>376541.33</v>
      </c>
      <c r="J30" s="220">
        <f t="shared" si="3"/>
        <v>49544.91184210527</v>
      </c>
      <c r="K30" s="221">
        <f t="shared" si="1"/>
        <v>0.87776205361374249</v>
      </c>
      <c r="L30" s="222">
        <f t="shared" si="4"/>
        <v>1.7115515000000001E-3</v>
      </c>
      <c r="M30" s="223"/>
      <c r="N30" s="55"/>
    </row>
    <row r="31" spans="1:14" ht="45" x14ac:dyDescent="0.25">
      <c r="A31" s="55"/>
      <c r="B31" s="216">
        <v>27</v>
      </c>
      <c r="C31" s="217" t="s">
        <v>375</v>
      </c>
      <c r="D31" s="198" t="s">
        <v>376</v>
      </c>
      <c r="E31" s="198" t="s">
        <v>377</v>
      </c>
      <c r="F31" s="235">
        <v>1232415.7</v>
      </c>
      <c r="G31" s="219">
        <f t="shared" si="2"/>
        <v>162159.96052631579</v>
      </c>
      <c r="H31" s="1223">
        <f t="shared" si="0"/>
        <v>5.6018895454545449E-3</v>
      </c>
      <c r="I31" s="232">
        <v>76670</v>
      </c>
      <c r="J31" s="220">
        <f t="shared" si="3"/>
        <v>10088.157894736843</v>
      </c>
      <c r="K31" s="221">
        <f t="shared" si="1"/>
        <v>6.2211151643069791E-2</v>
      </c>
      <c r="L31" s="222">
        <f t="shared" si="4"/>
        <v>3.4850000000000001E-4</v>
      </c>
      <c r="M31" s="223"/>
      <c r="N31" s="55"/>
    </row>
    <row r="32" spans="1:14" ht="105" x14ac:dyDescent="0.25">
      <c r="A32" s="55"/>
      <c r="B32" s="216">
        <v>28</v>
      </c>
      <c r="C32" s="217" t="s">
        <v>378</v>
      </c>
      <c r="D32" s="198" t="s">
        <v>379</v>
      </c>
      <c r="E32" s="198" t="s">
        <v>380</v>
      </c>
      <c r="F32" s="218">
        <v>5507304.4400000004</v>
      </c>
      <c r="G32" s="219">
        <f t="shared" si="2"/>
        <v>724645.32105263171</v>
      </c>
      <c r="H32" s="1223">
        <f t="shared" si="0"/>
        <v>2.5033202000000001E-2</v>
      </c>
      <c r="I32" s="127">
        <f>419900+1915440+2092092.53+448732.66</f>
        <v>4876165.1900000004</v>
      </c>
      <c r="J32" s="220">
        <f t="shared" si="3"/>
        <v>641600.68289473688</v>
      </c>
      <c r="K32" s="221">
        <f t="shared" si="1"/>
        <v>0.88539960758007419</v>
      </c>
      <c r="L32" s="222">
        <f>I32/220000000</f>
        <v>2.2164387227272729E-2</v>
      </c>
      <c r="M32" s="223"/>
      <c r="N32" s="55"/>
    </row>
    <row r="33" spans="1:14" ht="30" x14ac:dyDescent="0.25">
      <c r="A33" s="55"/>
      <c r="B33" s="226">
        <v>29</v>
      </c>
      <c r="C33" s="217" t="s">
        <v>381</v>
      </c>
      <c r="D33" s="198" t="s">
        <v>382</v>
      </c>
      <c r="E33" s="198" t="s">
        <v>383</v>
      </c>
      <c r="F33" s="218">
        <v>1067553.3999999999</v>
      </c>
      <c r="G33" s="219">
        <f t="shared" si="2"/>
        <v>140467.55263157893</v>
      </c>
      <c r="H33" s="1223">
        <f t="shared" si="0"/>
        <v>4.8525154545454542E-3</v>
      </c>
      <c r="I33" s="127">
        <v>156145</v>
      </c>
      <c r="J33" s="220">
        <f t="shared" si="3"/>
        <v>20545.394736842107</v>
      </c>
      <c r="K33" s="221">
        <f t="shared" si="1"/>
        <v>0.1462643461207655</v>
      </c>
      <c r="L33" s="222">
        <f t="shared" si="4"/>
        <v>7.0974999999999999E-4</v>
      </c>
      <c r="M33" s="223"/>
      <c r="N33" s="55"/>
    </row>
    <row r="34" spans="1:14" ht="30" x14ac:dyDescent="0.25">
      <c r="A34" s="55"/>
      <c r="B34" s="205">
        <v>30</v>
      </c>
      <c r="C34" s="206" t="s">
        <v>384</v>
      </c>
      <c r="D34" s="207" t="s">
        <v>385</v>
      </c>
      <c r="E34" s="207" t="s">
        <v>386</v>
      </c>
      <c r="F34" s="208">
        <v>3465567.35</v>
      </c>
      <c r="G34" s="209">
        <f t="shared" si="2"/>
        <v>455995.70394736843</v>
      </c>
      <c r="H34" s="1222">
        <f t="shared" si="0"/>
        <v>1.5752578863636364E-2</v>
      </c>
      <c r="I34" s="211">
        <f>401502.08+39059.74+1943956.49+1079202.37</f>
        <v>3463720.68</v>
      </c>
      <c r="J34" s="212">
        <f t="shared" si="3"/>
        <v>455752.72105263162</v>
      </c>
      <c r="K34" s="213">
        <f t="shared" si="1"/>
        <v>0.99946713775451512</v>
      </c>
      <c r="L34" s="214">
        <f t="shared" si="4"/>
        <v>1.5744184909090912E-2</v>
      </c>
      <c r="M34" s="131" t="s">
        <v>302</v>
      </c>
      <c r="N34" s="55"/>
    </row>
    <row r="35" spans="1:14" ht="39.6" customHeight="1" x14ac:dyDescent="0.25">
      <c r="A35" s="55"/>
      <c r="B35" s="216">
        <v>31</v>
      </c>
      <c r="C35" s="217" t="s">
        <v>387</v>
      </c>
      <c r="D35" s="198" t="s">
        <v>388</v>
      </c>
      <c r="E35" s="198" t="s">
        <v>389</v>
      </c>
      <c r="F35" s="230">
        <v>3648806.87</v>
      </c>
      <c r="G35" s="219">
        <f t="shared" si="2"/>
        <v>480106.16710526322</v>
      </c>
      <c r="H35" s="1223">
        <f t="shared" si="0"/>
        <v>1.6585485772727272E-2</v>
      </c>
      <c r="I35" s="127">
        <f>218662.5+20187.5+20187.5+329831.85+872202.06+1021960.59+551192.3</f>
        <v>3034224.3</v>
      </c>
      <c r="J35" s="220">
        <f t="shared" si="3"/>
        <v>399240.03947368421</v>
      </c>
      <c r="K35" s="221">
        <f t="shared" si="1"/>
        <v>0.83156615521281341</v>
      </c>
      <c r="L35" s="222">
        <f t="shared" si="4"/>
        <v>1.3791928636363636E-2</v>
      </c>
      <c r="M35" s="223"/>
      <c r="N35" s="55"/>
    </row>
    <row r="36" spans="1:14" ht="45" x14ac:dyDescent="0.25">
      <c r="A36" s="55"/>
      <c r="B36" s="226">
        <v>32</v>
      </c>
      <c r="C36" s="217" t="s">
        <v>390</v>
      </c>
      <c r="D36" s="198" t="s">
        <v>391</v>
      </c>
      <c r="E36" s="198" t="s">
        <v>392</v>
      </c>
      <c r="F36" s="218">
        <v>445028.68</v>
      </c>
      <c r="G36" s="219">
        <f t="shared" si="2"/>
        <v>58556.405263157896</v>
      </c>
      <c r="H36" s="1223">
        <f t="shared" si="0"/>
        <v>2.0228576363636361E-3</v>
      </c>
      <c r="I36" s="127">
        <f>82450+276897.53</f>
        <v>359347.53</v>
      </c>
      <c r="J36" s="220">
        <f t="shared" si="3"/>
        <v>47282.56973684211</v>
      </c>
      <c r="K36" s="221">
        <f t="shared" si="1"/>
        <v>0.80747049830586204</v>
      </c>
      <c r="L36" s="222">
        <f t="shared" si="4"/>
        <v>1.6333978636363638E-3</v>
      </c>
      <c r="M36" s="223"/>
      <c r="N36" s="55"/>
    </row>
    <row r="37" spans="1:14" ht="45" x14ac:dyDescent="0.25">
      <c r="A37" s="55"/>
      <c r="B37" s="226">
        <v>33</v>
      </c>
      <c r="C37" s="217" t="s">
        <v>393</v>
      </c>
      <c r="D37" s="198" t="s">
        <v>394</v>
      </c>
      <c r="E37" s="198" t="s">
        <v>395</v>
      </c>
      <c r="F37" s="218">
        <v>4901126.71</v>
      </c>
      <c r="G37" s="219">
        <f t="shared" si="2"/>
        <v>644885.09342105268</v>
      </c>
      <c r="H37" s="1223">
        <f t="shared" si="0"/>
        <v>2.2277848681818181E-2</v>
      </c>
      <c r="I37" s="236">
        <f>488099.82+334987.98+639370.54+482786.69+980694.26+678142.28+291196.25+147250.15</f>
        <v>4042527.97</v>
      </c>
      <c r="J37" s="220">
        <f t="shared" si="3"/>
        <v>531911.57500000007</v>
      </c>
      <c r="K37" s="221">
        <f t="shared" si="1"/>
        <v>0.82481604928757291</v>
      </c>
      <c r="L37" s="222">
        <f t="shared" si="4"/>
        <v>1.8375127136363637E-2</v>
      </c>
      <c r="M37" s="223"/>
      <c r="N37" s="55"/>
    </row>
    <row r="38" spans="1:14" ht="45" x14ac:dyDescent="0.25">
      <c r="A38" s="55"/>
      <c r="B38" s="216">
        <v>34</v>
      </c>
      <c r="C38" s="217" t="s">
        <v>396</v>
      </c>
      <c r="D38" s="198" t="s">
        <v>397</v>
      </c>
      <c r="E38" s="198" t="s">
        <v>398</v>
      </c>
      <c r="F38" s="218">
        <v>7347370.5199999996</v>
      </c>
      <c r="G38" s="219">
        <f t="shared" si="2"/>
        <v>966759.27894736838</v>
      </c>
      <c r="H38" s="1223">
        <f t="shared" si="0"/>
        <v>3.3397138727272728E-2</v>
      </c>
      <c r="I38" s="127"/>
      <c r="J38" s="220">
        <f t="shared" si="3"/>
        <v>0</v>
      </c>
      <c r="K38" s="221">
        <f t="shared" si="1"/>
        <v>0</v>
      </c>
      <c r="L38" s="222">
        <f t="shared" si="4"/>
        <v>0</v>
      </c>
      <c r="M38" s="223"/>
      <c r="N38" s="55"/>
    </row>
    <row r="39" spans="1:14" ht="30" x14ac:dyDescent="0.25">
      <c r="A39" s="55"/>
      <c r="B39" s="226">
        <v>35</v>
      </c>
      <c r="C39" s="217" t="s">
        <v>399</v>
      </c>
      <c r="D39" s="198" t="s">
        <v>400</v>
      </c>
      <c r="E39" s="198" t="s">
        <v>401</v>
      </c>
      <c r="F39" s="218">
        <v>402285.68</v>
      </c>
      <c r="G39" s="219">
        <f t="shared" si="2"/>
        <v>52932.326315789476</v>
      </c>
      <c r="H39" s="1223">
        <f t="shared" si="0"/>
        <v>1.8285712727272726E-3</v>
      </c>
      <c r="I39" s="127">
        <f>117300+283523.68</f>
        <v>400823.68</v>
      </c>
      <c r="J39" s="220">
        <f t="shared" si="3"/>
        <v>52739.957894736843</v>
      </c>
      <c r="K39" s="221">
        <f t="shared" si="1"/>
        <v>0.99636576673571875</v>
      </c>
      <c r="L39" s="222">
        <f t="shared" si="4"/>
        <v>1.8219258181818181E-3</v>
      </c>
      <c r="M39" s="223"/>
      <c r="N39" s="55"/>
    </row>
    <row r="40" spans="1:14" ht="60" x14ac:dyDescent="0.25">
      <c r="A40" s="55"/>
      <c r="B40" s="205">
        <v>36</v>
      </c>
      <c r="C40" s="206" t="s">
        <v>402</v>
      </c>
      <c r="D40" s="207" t="s">
        <v>403</v>
      </c>
      <c r="E40" s="207" t="s">
        <v>404</v>
      </c>
      <c r="F40" s="208">
        <v>692968.35</v>
      </c>
      <c r="G40" s="209">
        <f t="shared" si="2"/>
        <v>91180.046052631587</v>
      </c>
      <c r="H40" s="1222">
        <f t="shared" si="0"/>
        <v>3.1498561363636365E-3</v>
      </c>
      <c r="I40" s="211">
        <f>55420+331345.2+109685.07+24540+58140</f>
        <v>579130.27</v>
      </c>
      <c r="J40" s="212">
        <f t="shared" si="3"/>
        <v>76201.351315789478</v>
      </c>
      <c r="K40" s="213">
        <f t="shared" si="1"/>
        <v>0.83572398364225442</v>
      </c>
      <c r="L40" s="214">
        <f t="shared" si="4"/>
        <v>2.6324103181818181E-3</v>
      </c>
      <c r="M40" s="131" t="s">
        <v>302</v>
      </c>
      <c r="N40" s="55"/>
    </row>
    <row r="41" spans="1:14" ht="45" x14ac:dyDescent="0.25">
      <c r="A41" s="55"/>
      <c r="B41" s="216">
        <v>37</v>
      </c>
      <c r="C41" s="217" t="s">
        <v>405</v>
      </c>
      <c r="D41" s="198" t="s">
        <v>406</v>
      </c>
      <c r="E41" s="198" t="s">
        <v>407</v>
      </c>
      <c r="F41" s="218">
        <v>2653450.52</v>
      </c>
      <c r="G41" s="219">
        <f t="shared" si="2"/>
        <v>349138.22631578951</v>
      </c>
      <c r="H41" s="1223">
        <f t="shared" si="0"/>
        <v>1.2061138727272727E-2</v>
      </c>
      <c r="I41" s="237">
        <f>237575+21250</f>
        <v>258825</v>
      </c>
      <c r="J41" s="220">
        <f t="shared" si="3"/>
        <v>34055.92105263158</v>
      </c>
      <c r="K41" s="221">
        <f t="shared" si="1"/>
        <v>9.7542802494014466E-2</v>
      </c>
      <c r="L41" s="222">
        <f t="shared" si="4"/>
        <v>1.1764772727272728E-3</v>
      </c>
      <c r="M41" s="223"/>
      <c r="N41" s="55"/>
    </row>
    <row r="42" spans="1:14" ht="45" x14ac:dyDescent="0.25">
      <c r="A42" s="55"/>
      <c r="B42" s="226">
        <v>38</v>
      </c>
      <c r="C42" s="217" t="s">
        <v>408</v>
      </c>
      <c r="D42" s="198" t="s">
        <v>409</v>
      </c>
      <c r="E42" s="198" t="s">
        <v>410</v>
      </c>
      <c r="F42" s="218">
        <v>11022912.25</v>
      </c>
      <c r="G42" s="219">
        <f t="shared" si="2"/>
        <v>1450383.1907894737</v>
      </c>
      <c r="H42" s="1223">
        <f t="shared" si="0"/>
        <v>5.0104146590909088E-2</v>
      </c>
      <c r="I42" s="127"/>
      <c r="J42" s="220">
        <f t="shared" si="3"/>
        <v>0</v>
      </c>
      <c r="K42" s="221">
        <f t="shared" si="1"/>
        <v>0</v>
      </c>
      <c r="L42" s="222">
        <f t="shared" si="4"/>
        <v>0</v>
      </c>
      <c r="M42" s="223"/>
      <c r="N42" s="55"/>
    </row>
    <row r="43" spans="1:14" ht="45" x14ac:dyDescent="0.25">
      <c r="A43" s="55"/>
      <c r="B43" s="226">
        <v>39</v>
      </c>
      <c r="C43" s="217" t="s">
        <v>411</v>
      </c>
      <c r="D43" s="198" t="s">
        <v>412</v>
      </c>
      <c r="E43" s="198" t="s">
        <v>413</v>
      </c>
      <c r="F43" s="218">
        <v>5424376</v>
      </c>
      <c r="G43" s="219">
        <f t="shared" si="2"/>
        <v>713733.68421052629</v>
      </c>
      <c r="H43" s="1223">
        <f t="shared" si="0"/>
        <v>2.4656254545454545E-2</v>
      </c>
      <c r="I43" s="233">
        <f>63750+36833.33+75319.46+115458.34+117629.23+548493.26</f>
        <v>957483.62</v>
      </c>
      <c r="J43" s="220">
        <f t="shared" si="3"/>
        <v>125984.68684210526</v>
      </c>
      <c r="K43" s="221">
        <f t="shared" si="1"/>
        <v>0.17651497978753686</v>
      </c>
      <c r="L43" s="222">
        <f t="shared" si="4"/>
        <v>4.3521982727272729E-3</v>
      </c>
      <c r="M43" s="223"/>
      <c r="N43" s="55"/>
    </row>
    <row r="44" spans="1:14" ht="45" x14ac:dyDescent="0.25">
      <c r="A44" s="55"/>
      <c r="B44" s="216">
        <v>40</v>
      </c>
      <c r="C44" s="217" t="s">
        <v>414</v>
      </c>
      <c r="D44" s="198" t="s">
        <v>415</v>
      </c>
      <c r="E44" s="198" t="s">
        <v>416</v>
      </c>
      <c r="F44" s="218">
        <v>3184350</v>
      </c>
      <c r="G44" s="219">
        <f t="shared" si="2"/>
        <v>418993.42105263157</v>
      </c>
      <c r="H44" s="1223">
        <f t="shared" si="0"/>
        <v>1.4474318181818182E-2</v>
      </c>
      <c r="I44" s="127">
        <f>39100+77798.61+53597.22+331108.94+522322.44</f>
        <v>1023927.21</v>
      </c>
      <c r="J44" s="220">
        <f t="shared" si="3"/>
        <v>134727.26447368422</v>
      </c>
      <c r="K44" s="221">
        <f t="shared" si="1"/>
        <v>0.3215498327759197</v>
      </c>
      <c r="L44" s="222">
        <f t="shared" si="4"/>
        <v>4.654214590909091E-3</v>
      </c>
      <c r="M44" s="223"/>
      <c r="N44" s="55"/>
    </row>
    <row r="45" spans="1:14" ht="60" x14ac:dyDescent="0.25">
      <c r="A45" s="55"/>
      <c r="B45" s="226">
        <v>41</v>
      </c>
      <c r="C45" s="217" t="s">
        <v>417</v>
      </c>
      <c r="D45" s="198" t="s">
        <v>418</v>
      </c>
      <c r="E45" s="198" t="s">
        <v>419</v>
      </c>
      <c r="F45" s="218">
        <v>4633876.79</v>
      </c>
      <c r="G45" s="219">
        <f t="shared" si="2"/>
        <v>609720.63026315789</v>
      </c>
      <c r="H45" s="1223">
        <f t="shared" si="0"/>
        <v>2.1063076318181818E-2</v>
      </c>
      <c r="I45" s="232">
        <f>106250+58038.84+1709391.16+1914958.36+747176.1+5023.5+83634.8</f>
        <v>4624472.76</v>
      </c>
      <c r="J45" s="220">
        <f t="shared" si="3"/>
        <v>608483.25789473683</v>
      </c>
      <c r="K45" s="221">
        <f t="shared" si="1"/>
        <v>0.99797059127245369</v>
      </c>
      <c r="L45" s="222">
        <f t="shared" si="4"/>
        <v>2.1020330727272725E-2</v>
      </c>
      <c r="M45" s="1237"/>
      <c r="N45" s="55"/>
    </row>
    <row r="46" spans="1:14" ht="45" x14ac:dyDescent="0.25">
      <c r="A46" s="55"/>
      <c r="B46" s="228">
        <v>42</v>
      </c>
      <c r="C46" s="206" t="s">
        <v>420</v>
      </c>
      <c r="D46" s="207" t="s">
        <v>421</v>
      </c>
      <c r="E46" s="207" t="s">
        <v>422</v>
      </c>
      <c r="F46" s="225">
        <v>705624.05</v>
      </c>
      <c r="G46" s="209">
        <f t="shared" si="2"/>
        <v>92845.269736842121</v>
      </c>
      <c r="H46" s="1222">
        <f t="shared" si="0"/>
        <v>3.2073820454545455E-3</v>
      </c>
      <c r="I46" s="211">
        <f>38377.5+12395.55+222276.19+365957.64+57535.65</f>
        <v>696542.53</v>
      </c>
      <c r="J46" s="212">
        <f t="shared" si="3"/>
        <v>91650.332894736857</v>
      </c>
      <c r="K46" s="213">
        <f t="shared" si="1"/>
        <v>0.98712980375314585</v>
      </c>
      <c r="L46" s="214">
        <f>I46/220000000</f>
        <v>3.1661024090909092E-3</v>
      </c>
      <c r="M46" s="131" t="s">
        <v>302</v>
      </c>
      <c r="N46" s="55"/>
    </row>
    <row r="47" spans="1:14" ht="60" x14ac:dyDescent="0.25">
      <c r="A47" s="55"/>
      <c r="B47" s="226">
        <v>43</v>
      </c>
      <c r="C47" s="217" t="s">
        <v>423</v>
      </c>
      <c r="D47" s="198" t="s">
        <v>424</v>
      </c>
      <c r="E47" s="198" t="s">
        <v>425</v>
      </c>
      <c r="F47" s="218">
        <v>6047492.4699999997</v>
      </c>
      <c r="G47" s="219">
        <f t="shared" si="2"/>
        <v>795722.69342105265</v>
      </c>
      <c r="H47" s="1223">
        <f t="shared" si="0"/>
        <v>2.7488602136363637E-2</v>
      </c>
      <c r="I47" s="232">
        <f>1209498.49+26058.03+3270577.74+307945.8+37400+25379.64</f>
        <v>4876859.6999999993</v>
      </c>
      <c r="J47" s="220">
        <f t="shared" si="3"/>
        <v>641692.06578947359</v>
      </c>
      <c r="K47" s="221">
        <f t="shared" si="1"/>
        <v>0.80642675029242317</v>
      </c>
      <c r="L47" s="222">
        <f t="shared" si="4"/>
        <v>2.2167544090909087E-2</v>
      </c>
      <c r="M47" s="223"/>
      <c r="N47" s="55"/>
    </row>
    <row r="48" spans="1:14" ht="75" x14ac:dyDescent="0.25">
      <c r="A48" s="55"/>
      <c r="B48" s="226">
        <v>44</v>
      </c>
      <c r="C48" s="217" t="s">
        <v>426</v>
      </c>
      <c r="D48" s="198" t="s">
        <v>427</v>
      </c>
      <c r="E48" s="198" t="s">
        <v>428</v>
      </c>
      <c r="F48" s="227">
        <v>7299804.5300000003</v>
      </c>
      <c r="G48" s="219">
        <f t="shared" si="2"/>
        <v>960500.59605263162</v>
      </c>
      <c r="H48" s="1223">
        <f t="shared" si="0"/>
        <v>3.3180929681818183E-2</v>
      </c>
      <c r="I48" s="127">
        <f>318920+22100+34850+44200+22100+1386199.12</f>
        <v>1828369.12</v>
      </c>
      <c r="J48" s="220">
        <f t="shared" si="3"/>
        <v>240574.88421052633</v>
      </c>
      <c r="K48" s="221">
        <f t="shared" si="1"/>
        <v>0.25046823000341356</v>
      </c>
      <c r="L48" s="222">
        <f t="shared" si="4"/>
        <v>8.3107687272727278E-3</v>
      </c>
      <c r="M48" s="223"/>
      <c r="N48" s="55"/>
    </row>
    <row r="49" spans="1:14" ht="30" x14ac:dyDescent="0.25">
      <c r="A49" s="55"/>
      <c r="B49" s="216">
        <v>45</v>
      </c>
      <c r="C49" s="217" t="s">
        <v>429</v>
      </c>
      <c r="D49" s="198" t="s">
        <v>430</v>
      </c>
      <c r="E49" s="198" t="s">
        <v>431</v>
      </c>
      <c r="F49" s="227">
        <v>383353.4</v>
      </c>
      <c r="G49" s="219">
        <f t="shared" si="2"/>
        <v>50441.236842105267</v>
      </c>
      <c r="H49" s="1223">
        <f t="shared" si="0"/>
        <v>1.7425154545454547E-3</v>
      </c>
      <c r="I49" s="127">
        <f>25670+44922.5+9078+196946.53+49247+8797.5+11917</f>
        <v>346578.53</v>
      </c>
      <c r="J49" s="220">
        <f t="shared" si="3"/>
        <v>45602.438157894743</v>
      </c>
      <c r="K49" s="221">
        <f t="shared" si="1"/>
        <v>0.90407057821842718</v>
      </c>
      <c r="L49" s="222">
        <f t="shared" si="4"/>
        <v>1.5753569545454546E-3</v>
      </c>
      <c r="M49" s="223"/>
      <c r="N49" s="55"/>
    </row>
    <row r="50" spans="1:14" ht="30" x14ac:dyDescent="0.25">
      <c r="A50" s="55"/>
      <c r="B50" s="226">
        <v>46</v>
      </c>
      <c r="C50" s="217" t="s">
        <v>432</v>
      </c>
      <c r="D50" s="198" t="s">
        <v>433</v>
      </c>
      <c r="E50" s="198" t="s">
        <v>434</v>
      </c>
      <c r="F50" s="218">
        <v>412908</v>
      </c>
      <c r="G50" s="219">
        <f t="shared" si="2"/>
        <v>54330</v>
      </c>
      <c r="H50" s="1223">
        <f>F50/220000000</f>
        <v>1.8768545454545455E-3</v>
      </c>
      <c r="I50" s="127">
        <f>119850+8500</f>
        <v>128350</v>
      </c>
      <c r="J50" s="220">
        <f t="shared" si="3"/>
        <v>16888.157894736843</v>
      </c>
      <c r="K50" s="221">
        <f t="shared" si="1"/>
        <v>0.31084406211553178</v>
      </c>
      <c r="L50" s="222">
        <f t="shared" si="4"/>
        <v>5.8340909090909092E-4</v>
      </c>
      <c r="M50" s="223"/>
      <c r="N50" s="55"/>
    </row>
    <row r="51" spans="1:14" ht="45" x14ac:dyDescent="0.25">
      <c r="A51" s="55"/>
      <c r="B51" s="205">
        <v>47</v>
      </c>
      <c r="C51" s="206" t="s">
        <v>435</v>
      </c>
      <c r="D51" s="207" t="s">
        <v>436</v>
      </c>
      <c r="E51" s="207" t="s">
        <v>437</v>
      </c>
      <c r="F51" s="208">
        <v>464272</v>
      </c>
      <c r="G51" s="209">
        <f t="shared" si="2"/>
        <v>61088.42105263158</v>
      </c>
      <c r="H51" s="1222">
        <f t="shared" si="0"/>
        <v>2.1103272727272726E-3</v>
      </c>
      <c r="I51" s="211">
        <f>353464+93126.5+16915</f>
        <v>463505.5</v>
      </c>
      <c r="J51" s="212">
        <f t="shared" si="3"/>
        <v>60987.565789473687</v>
      </c>
      <c r="K51" s="213">
        <f t="shared" si="1"/>
        <v>0.99834902815590865</v>
      </c>
      <c r="L51" s="214">
        <f t="shared" si="4"/>
        <v>2.1068431818181818E-3</v>
      </c>
      <c r="M51" s="131" t="s">
        <v>302</v>
      </c>
      <c r="N51" s="55"/>
    </row>
    <row r="52" spans="1:14" ht="45" x14ac:dyDescent="0.25">
      <c r="A52" s="55"/>
      <c r="B52" s="228">
        <v>48</v>
      </c>
      <c r="C52" s="206" t="s">
        <v>438</v>
      </c>
      <c r="D52" s="207" t="s">
        <v>439</v>
      </c>
      <c r="E52" s="207" t="s">
        <v>440</v>
      </c>
      <c r="F52" s="215">
        <v>389188.47</v>
      </c>
      <c r="G52" s="209">
        <f t="shared" si="2"/>
        <v>51209.009210526317</v>
      </c>
      <c r="H52" s="1222">
        <f t="shared" si="0"/>
        <v>1.7690384999999999E-3</v>
      </c>
      <c r="I52" s="231">
        <f>128720.86+126020.76+117922.87+16523.98</f>
        <v>389188.47</v>
      </c>
      <c r="J52" s="212">
        <f t="shared" si="3"/>
        <v>51209.009210526317</v>
      </c>
      <c r="K52" s="213">
        <f t="shared" si="1"/>
        <v>1</v>
      </c>
      <c r="L52" s="214">
        <f t="shared" si="4"/>
        <v>1.7690384999999999E-3</v>
      </c>
      <c r="M52" s="131" t="s">
        <v>302</v>
      </c>
      <c r="N52" s="55"/>
    </row>
    <row r="53" spans="1:14" ht="45" x14ac:dyDescent="0.25">
      <c r="A53" s="55"/>
      <c r="B53" s="216">
        <v>49</v>
      </c>
      <c r="C53" s="217" t="s">
        <v>441</v>
      </c>
      <c r="D53" s="198" t="s">
        <v>442</v>
      </c>
      <c r="E53" s="198" t="s">
        <v>443</v>
      </c>
      <c r="F53" s="218">
        <v>949497.4</v>
      </c>
      <c r="G53" s="219">
        <f t="shared" si="2"/>
        <v>124933.86842105264</v>
      </c>
      <c r="H53" s="1223">
        <f t="shared" si="0"/>
        <v>4.315897272727273E-3</v>
      </c>
      <c r="I53" s="127">
        <f>51170+68336.4+12471.6+744694.8+36330</f>
        <v>913002.8</v>
      </c>
      <c r="J53" s="220">
        <f t="shared" si="3"/>
        <v>120131.94736842107</v>
      </c>
      <c r="K53" s="221">
        <f t="shared" si="1"/>
        <v>0.96156429706916524</v>
      </c>
      <c r="L53" s="222">
        <f t="shared" si="4"/>
        <v>4.1500127272727271E-3</v>
      </c>
      <c r="M53" s="223"/>
      <c r="N53" s="55"/>
    </row>
    <row r="54" spans="1:14" ht="60" x14ac:dyDescent="0.25">
      <c r="A54" s="55"/>
      <c r="B54" s="238">
        <v>50</v>
      </c>
      <c r="C54" s="239" t="s">
        <v>444</v>
      </c>
      <c r="D54" s="239" t="s">
        <v>445</v>
      </c>
      <c r="E54" s="239" t="s">
        <v>446</v>
      </c>
      <c r="F54" s="240">
        <v>3869476.48</v>
      </c>
      <c r="G54" s="241">
        <f t="shared" si="2"/>
        <v>509141.64210526319</v>
      </c>
      <c r="H54" s="1225">
        <f t="shared" si="0"/>
        <v>1.7588529454545455E-2</v>
      </c>
      <c r="I54" s="242"/>
      <c r="J54" s="243">
        <f t="shared" si="3"/>
        <v>0</v>
      </c>
      <c r="K54" s="244">
        <f t="shared" si="1"/>
        <v>0</v>
      </c>
      <c r="L54" s="245">
        <f>I54/220000000</f>
        <v>0</v>
      </c>
      <c r="M54" s="246" t="s">
        <v>166</v>
      </c>
      <c r="N54" s="55"/>
    </row>
    <row r="55" spans="1:14" ht="60" x14ac:dyDescent="0.25">
      <c r="A55" s="55"/>
      <c r="B55" s="226">
        <v>51</v>
      </c>
      <c r="C55" s="217" t="s">
        <v>447</v>
      </c>
      <c r="D55" s="198" t="s">
        <v>448</v>
      </c>
      <c r="E55" s="198" t="s">
        <v>449</v>
      </c>
      <c r="F55" s="218">
        <v>1694237.78</v>
      </c>
      <c r="G55" s="219">
        <f t="shared" si="2"/>
        <v>222926.02368421055</v>
      </c>
      <c r="H55" s="1223">
        <f t="shared" si="0"/>
        <v>7.7010808181818182E-3</v>
      </c>
      <c r="I55" s="127">
        <f>42712.5+17000+297162.5+195910+859655.44</f>
        <v>1412440.44</v>
      </c>
      <c r="J55" s="220">
        <f t="shared" si="3"/>
        <v>185847.42631578949</v>
      </c>
      <c r="K55" s="221">
        <f t="shared" si="1"/>
        <v>0.83367308690283126</v>
      </c>
      <c r="L55" s="222">
        <f t="shared" si="4"/>
        <v>6.4201838181818177E-3</v>
      </c>
      <c r="M55" s="223"/>
      <c r="N55" s="55"/>
    </row>
    <row r="56" spans="1:14" ht="30" x14ac:dyDescent="0.25">
      <c r="A56" s="55"/>
      <c r="B56" s="216">
        <v>52</v>
      </c>
      <c r="C56" s="217" t="s">
        <v>450</v>
      </c>
      <c r="D56" s="198" t="s">
        <v>451</v>
      </c>
      <c r="E56" s="198" t="s">
        <v>452</v>
      </c>
      <c r="F56" s="218">
        <v>1504721.87</v>
      </c>
      <c r="G56" s="219">
        <f t="shared" si="2"/>
        <v>197989.71973684212</v>
      </c>
      <c r="H56" s="1223">
        <f t="shared" si="0"/>
        <v>6.8396448636363644E-3</v>
      </c>
      <c r="I56" s="127">
        <f>78172.72+36550+213240+739494.72+56538</f>
        <v>1123995.44</v>
      </c>
      <c r="J56" s="220">
        <f t="shared" si="3"/>
        <v>147894.13684210528</v>
      </c>
      <c r="K56" s="221">
        <f t="shared" si="1"/>
        <v>0.74697886859317053</v>
      </c>
      <c r="L56" s="222">
        <f t="shared" si="4"/>
        <v>5.1090701818181814E-3</v>
      </c>
      <c r="M56" s="223"/>
      <c r="N56" s="55"/>
    </row>
    <row r="57" spans="1:14" ht="75" x14ac:dyDescent="0.25">
      <c r="A57" s="55"/>
      <c r="B57" s="205">
        <v>53</v>
      </c>
      <c r="C57" s="206" t="s">
        <v>453</v>
      </c>
      <c r="D57" s="207" t="s">
        <v>454</v>
      </c>
      <c r="E57" s="207" t="s">
        <v>455</v>
      </c>
      <c r="F57" s="208">
        <v>1079123.44</v>
      </c>
      <c r="G57" s="209">
        <f t="shared" si="2"/>
        <v>141989.92631578946</v>
      </c>
      <c r="H57" s="1222">
        <f t="shared" si="0"/>
        <v>4.9051065454545455E-3</v>
      </c>
      <c r="I57" s="211">
        <v>816678.82</v>
      </c>
      <c r="J57" s="212">
        <f t="shared" si="3"/>
        <v>107457.73947368421</v>
      </c>
      <c r="K57" s="213">
        <f t="shared" si="1"/>
        <v>0.75679833254293871</v>
      </c>
      <c r="L57" s="214">
        <f t="shared" si="4"/>
        <v>3.7121764545454544E-3</v>
      </c>
      <c r="M57" s="131" t="s">
        <v>302</v>
      </c>
      <c r="N57" s="55"/>
    </row>
    <row r="58" spans="1:14" ht="45" x14ac:dyDescent="0.25">
      <c r="A58" s="55"/>
      <c r="B58" s="226">
        <v>54</v>
      </c>
      <c r="C58" s="217" t="s">
        <v>456</v>
      </c>
      <c r="D58" s="198" t="s">
        <v>457</v>
      </c>
      <c r="E58" s="198" t="s">
        <v>458</v>
      </c>
      <c r="F58" s="227">
        <v>4595170.18</v>
      </c>
      <c r="G58" s="219">
        <f t="shared" si="2"/>
        <v>604627.65526315791</v>
      </c>
      <c r="H58" s="1223">
        <f t="shared" si="0"/>
        <v>2.0887137181818182E-2</v>
      </c>
      <c r="I58" s="127">
        <f>919034.03+413336.34+686012.72+832304.37</f>
        <v>2850687.46</v>
      </c>
      <c r="J58" s="220">
        <f t="shared" si="3"/>
        <v>375090.4552631579</v>
      </c>
      <c r="K58" s="221">
        <f t="shared" si="1"/>
        <v>0.62036602526873119</v>
      </c>
      <c r="L58" s="222">
        <f t="shared" si="4"/>
        <v>1.2957670272727272E-2</v>
      </c>
      <c r="M58" s="223"/>
      <c r="N58" s="55"/>
    </row>
    <row r="59" spans="1:14" ht="30" x14ac:dyDescent="0.25">
      <c r="A59" s="55"/>
      <c r="B59" s="216">
        <v>55</v>
      </c>
      <c r="C59" s="217" t="s">
        <v>459</v>
      </c>
      <c r="D59" s="198" t="s">
        <v>460</v>
      </c>
      <c r="E59" s="198" t="s">
        <v>461</v>
      </c>
      <c r="F59" s="227">
        <v>690668.11</v>
      </c>
      <c r="G59" s="219">
        <f t="shared" si="2"/>
        <v>90877.382894736846</v>
      </c>
      <c r="H59" s="1223">
        <f t="shared" si="0"/>
        <v>3.1394004999999998E-3</v>
      </c>
      <c r="I59" s="232">
        <f>548746+121549.99</f>
        <v>670295.99</v>
      </c>
      <c r="J59" s="220">
        <f t="shared" si="3"/>
        <v>88196.840789473688</v>
      </c>
      <c r="K59" s="221">
        <f t="shared" si="1"/>
        <v>0.97050374889901891</v>
      </c>
      <c r="L59" s="222">
        <f t="shared" si="4"/>
        <v>3.0467999545454546E-3</v>
      </c>
      <c r="M59" s="223"/>
      <c r="N59" s="55"/>
    </row>
    <row r="60" spans="1:14" ht="30" x14ac:dyDescent="0.25">
      <c r="A60" s="55"/>
      <c r="B60" s="226">
        <v>56</v>
      </c>
      <c r="C60" s="217" t="s">
        <v>462</v>
      </c>
      <c r="D60" s="198" t="s">
        <v>463</v>
      </c>
      <c r="E60" s="198" t="s">
        <v>464</v>
      </c>
      <c r="F60" s="218">
        <v>9801548.7200000007</v>
      </c>
      <c r="G60" s="219">
        <f t="shared" si="2"/>
        <v>1289677.4631578948</v>
      </c>
      <c r="H60" s="1223">
        <f t="shared" si="0"/>
        <v>4.4552494181818184E-2</v>
      </c>
      <c r="I60" s="127">
        <f>689137.5+1960000+631399.54+826010.86+1225612.03+679002.6</f>
        <v>6011162.5299999993</v>
      </c>
      <c r="J60" s="220">
        <f t="shared" si="3"/>
        <v>790942.43815789465</v>
      </c>
      <c r="K60" s="221">
        <f t="shared" si="1"/>
        <v>0.61328701225901772</v>
      </c>
      <c r="L60" s="222">
        <f t="shared" si="4"/>
        <v>2.7323466045454544E-2</v>
      </c>
      <c r="M60" s="1224"/>
      <c r="N60" s="55"/>
    </row>
    <row r="61" spans="1:14" ht="30" x14ac:dyDescent="0.25">
      <c r="A61" s="55"/>
      <c r="B61" s="226">
        <v>57</v>
      </c>
      <c r="C61" s="217" t="s">
        <v>465</v>
      </c>
      <c r="D61" s="198" t="s">
        <v>466</v>
      </c>
      <c r="E61" s="198" t="s">
        <v>467</v>
      </c>
      <c r="F61" s="218">
        <v>1179720</v>
      </c>
      <c r="G61" s="219">
        <f t="shared" si="2"/>
        <v>155226.31578947368</v>
      </c>
      <c r="H61" s="1223">
        <f t="shared" si="0"/>
        <v>5.3623636363636365E-3</v>
      </c>
      <c r="I61" s="127">
        <f>17000+1119370</f>
        <v>1136370</v>
      </c>
      <c r="J61" s="220">
        <f t="shared" si="3"/>
        <v>149522.36842105264</v>
      </c>
      <c r="K61" s="221">
        <f t="shared" si="1"/>
        <v>0.9632539924727902</v>
      </c>
      <c r="L61" s="222">
        <f t="shared" si="4"/>
        <v>5.1653181818181815E-3</v>
      </c>
      <c r="M61" s="223"/>
      <c r="N61" s="55"/>
    </row>
    <row r="62" spans="1:14" ht="30" x14ac:dyDescent="0.25">
      <c r="A62" s="55"/>
      <c r="B62" s="216">
        <v>58</v>
      </c>
      <c r="C62" s="217" t="s">
        <v>468</v>
      </c>
      <c r="D62" s="198" t="s">
        <v>469</v>
      </c>
      <c r="E62" s="198" t="s">
        <v>470</v>
      </c>
      <c r="F62" s="218">
        <v>7882243.9800000004</v>
      </c>
      <c r="G62" s="219">
        <f t="shared" si="2"/>
        <v>1037137.3657894738</v>
      </c>
      <c r="H62" s="1223">
        <f t="shared" si="0"/>
        <v>3.5828381727272728E-2</v>
      </c>
      <c r="I62" s="232">
        <v>1576448</v>
      </c>
      <c r="J62" s="220">
        <f t="shared" si="3"/>
        <v>207427.36842105264</v>
      </c>
      <c r="K62" s="221">
        <f t="shared" si="1"/>
        <v>0.19999989901352938</v>
      </c>
      <c r="L62" s="222">
        <f t="shared" si="4"/>
        <v>7.165672727272727E-3</v>
      </c>
      <c r="M62" s="223"/>
      <c r="N62" s="55"/>
    </row>
    <row r="63" spans="1:14" ht="30" x14ac:dyDescent="0.25">
      <c r="A63" s="55"/>
      <c r="B63" s="226">
        <v>59</v>
      </c>
      <c r="C63" s="217" t="s">
        <v>471</v>
      </c>
      <c r="D63" s="198" t="s">
        <v>472</v>
      </c>
      <c r="E63" s="198" t="s">
        <v>473</v>
      </c>
      <c r="F63" s="218">
        <v>330457.59999999998</v>
      </c>
      <c r="G63" s="219">
        <f t="shared" si="2"/>
        <v>43481.263157894733</v>
      </c>
      <c r="H63" s="1223">
        <f t="shared" si="0"/>
        <v>1.5020799999999998E-3</v>
      </c>
      <c r="I63" s="127">
        <f>80664+126800</f>
        <v>207464</v>
      </c>
      <c r="J63" s="220">
        <f t="shared" si="3"/>
        <v>27297.894736842107</v>
      </c>
      <c r="K63" s="221">
        <f t="shared" si="1"/>
        <v>0.62780822713715778</v>
      </c>
      <c r="L63" s="222">
        <f t="shared" si="4"/>
        <v>9.4301818181818182E-4</v>
      </c>
      <c r="M63" s="223"/>
      <c r="N63" s="55"/>
    </row>
    <row r="64" spans="1:14" ht="60" x14ac:dyDescent="0.25">
      <c r="A64" s="55"/>
      <c r="B64" s="205">
        <v>60</v>
      </c>
      <c r="C64" s="206" t="s">
        <v>474</v>
      </c>
      <c r="D64" s="247" t="s">
        <v>475</v>
      </c>
      <c r="E64" s="207" t="s">
        <v>476</v>
      </c>
      <c r="F64" s="208">
        <v>725478.1</v>
      </c>
      <c r="G64" s="209">
        <f t="shared" si="2"/>
        <v>95457.644736842107</v>
      </c>
      <c r="H64" s="1222">
        <f t="shared" si="0"/>
        <v>3.2976277272727273E-3</v>
      </c>
      <c r="I64" s="211">
        <f>10540+645119.57+69733.53</f>
        <v>725393.1</v>
      </c>
      <c r="J64" s="212">
        <f t="shared" si="3"/>
        <v>95446.460526315786</v>
      </c>
      <c r="K64" s="213">
        <f t="shared" si="1"/>
        <v>0.99988283588436366</v>
      </c>
      <c r="L64" s="214">
        <f t="shared" si="4"/>
        <v>3.2972413636363634E-3</v>
      </c>
      <c r="M64" s="131" t="s">
        <v>302</v>
      </c>
      <c r="N64" s="55"/>
    </row>
    <row r="65" spans="1:17" ht="30" x14ac:dyDescent="0.25">
      <c r="A65" s="55"/>
      <c r="B65" s="216">
        <v>61</v>
      </c>
      <c r="C65" s="217" t="s">
        <v>477</v>
      </c>
      <c r="D65" s="198" t="s">
        <v>478</v>
      </c>
      <c r="E65" s="198" t="s">
        <v>479</v>
      </c>
      <c r="F65" s="227">
        <v>989542.58</v>
      </c>
      <c r="G65" s="219">
        <f t="shared" si="2"/>
        <v>130202.97105263158</v>
      </c>
      <c r="H65" s="1223">
        <f t="shared" si="0"/>
        <v>4.4979208181818182E-3</v>
      </c>
      <c r="I65" s="127">
        <f>162714.26+14571.42+512498.94+87803.12+80843.5+76500</f>
        <v>934931.24</v>
      </c>
      <c r="J65" s="220">
        <f t="shared" si="3"/>
        <v>123017.26842105263</v>
      </c>
      <c r="K65" s="221">
        <f t="shared" si="1"/>
        <v>0.9448115310005154</v>
      </c>
      <c r="L65" s="222">
        <f t="shared" si="4"/>
        <v>4.2496874545454545E-3</v>
      </c>
      <c r="M65" s="223"/>
      <c r="N65" s="55"/>
    </row>
    <row r="66" spans="1:17" ht="60" x14ac:dyDescent="0.25">
      <c r="A66" s="55"/>
      <c r="B66" s="226">
        <v>62</v>
      </c>
      <c r="C66" s="217" t="s">
        <v>480</v>
      </c>
      <c r="D66" s="248" t="s">
        <v>481</v>
      </c>
      <c r="E66" s="248" t="s">
        <v>482</v>
      </c>
      <c r="F66" s="227">
        <v>3426974.88</v>
      </c>
      <c r="G66" s="219">
        <f t="shared" si="2"/>
        <v>450917.74736842106</v>
      </c>
      <c r="H66" s="1223">
        <f t="shared" si="0"/>
        <v>1.5577158545454545E-2</v>
      </c>
      <c r="I66" s="127">
        <f>165920+40290+26690+964600.51+806457.59+440582.13+198744.06</f>
        <v>2643284.29</v>
      </c>
      <c r="J66" s="220">
        <f t="shared" si="3"/>
        <v>347800.56447368424</v>
      </c>
      <c r="K66" s="221">
        <f t="shared" si="1"/>
        <v>0.77131708943253185</v>
      </c>
      <c r="L66" s="222">
        <f t="shared" si="4"/>
        <v>1.2014928590909092E-2</v>
      </c>
      <c r="M66" s="223"/>
      <c r="N66" s="55"/>
    </row>
    <row r="67" spans="1:17" ht="30" x14ac:dyDescent="0.25">
      <c r="A67" s="55"/>
      <c r="B67" s="228">
        <v>63</v>
      </c>
      <c r="C67" s="206" t="s">
        <v>483</v>
      </c>
      <c r="D67" s="247" t="s">
        <v>484</v>
      </c>
      <c r="E67" s="247" t="s">
        <v>485</v>
      </c>
      <c r="F67" s="208">
        <v>401400</v>
      </c>
      <c r="G67" s="209">
        <f t="shared" si="2"/>
        <v>52815.789473684214</v>
      </c>
      <c r="H67" s="1222">
        <f t="shared" si="0"/>
        <v>1.8245454545454546E-3</v>
      </c>
      <c r="I67" s="211">
        <f>8500+318946+62952</f>
        <v>390398</v>
      </c>
      <c r="J67" s="212">
        <f t="shared" si="3"/>
        <v>51368.157894736847</v>
      </c>
      <c r="K67" s="213">
        <f t="shared" si="1"/>
        <v>0.97259093173891376</v>
      </c>
      <c r="L67" s="214">
        <f t="shared" si="4"/>
        <v>1.7745363636363636E-3</v>
      </c>
      <c r="M67" s="131" t="s">
        <v>302</v>
      </c>
      <c r="N67" s="55"/>
    </row>
    <row r="68" spans="1:17" ht="45" x14ac:dyDescent="0.25">
      <c r="A68" s="55"/>
      <c r="B68" s="226">
        <v>64</v>
      </c>
      <c r="C68" s="217" t="s">
        <v>486</v>
      </c>
      <c r="D68" s="248" t="s">
        <v>487</v>
      </c>
      <c r="E68" s="248" t="s">
        <v>488</v>
      </c>
      <c r="F68" s="218">
        <v>1008100</v>
      </c>
      <c r="G68" s="219">
        <f t="shared" si="2"/>
        <v>132644.73684210528</v>
      </c>
      <c r="H68" s="1223">
        <f t="shared" si="0"/>
        <v>4.5822727272727274E-3</v>
      </c>
      <c r="I68" s="127">
        <f>21250+43677.6+27200+187788+20400+13600+99360</f>
        <v>413275.6</v>
      </c>
      <c r="J68" s="220">
        <f t="shared" si="3"/>
        <v>54378.368421052633</v>
      </c>
      <c r="K68" s="221">
        <f t="shared" si="1"/>
        <v>0.40995496478523952</v>
      </c>
      <c r="L68" s="222">
        <f t="shared" si="4"/>
        <v>1.8785254545454545E-3</v>
      </c>
      <c r="M68" s="223"/>
      <c r="N68" s="55"/>
    </row>
    <row r="69" spans="1:17" ht="45" x14ac:dyDescent="0.25">
      <c r="A69" s="55"/>
      <c r="B69" s="216">
        <v>65</v>
      </c>
      <c r="C69" s="217" t="s">
        <v>489</v>
      </c>
      <c r="D69" s="248" t="s">
        <v>490</v>
      </c>
      <c r="E69" s="248" t="s">
        <v>491</v>
      </c>
      <c r="F69" s="218">
        <v>1017040.5</v>
      </c>
      <c r="G69" s="219">
        <f t="shared" si="2"/>
        <v>133821.11842105264</v>
      </c>
      <c r="H69" s="1223">
        <f t="shared" si="0"/>
        <v>4.6229113636363636E-3</v>
      </c>
      <c r="I69" s="232">
        <f>38250+7267.5+5482.5+284871.92</f>
        <v>335871.92</v>
      </c>
      <c r="J69" s="220">
        <f t="shared" si="3"/>
        <v>44193.673684210524</v>
      </c>
      <c r="K69" s="221">
        <f t="shared" ref="K69:K82" si="5">I69/F69</f>
        <v>0.33024439046429321</v>
      </c>
      <c r="L69" s="222">
        <f t="shared" si="4"/>
        <v>1.5266905454545453E-3</v>
      </c>
      <c r="M69" s="223"/>
      <c r="N69" s="55"/>
    </row>
    <row r="70" spans="1:17" ht="45" x14ac:dyDescent="0.25">
      <c r="A70" s="55"/>
      <c r="B70" s="226">
        <v>66</v>
      </c>
      <c r="C70" s="217" t="s">
        <v>492</v>
      </c>
      <c r="D70" s="248" t="s">
        <v>493</v>
      </c>
      <c r="E70" s="248" t="s">
        <v>494</v>
      </c>
      <c r="F70" s="230">
        <v>625469.5</v>
      </c>
      <c r="G70" s="219">
        <f t="shared" ref="G70:G81" si="6">F70/7.6</f>
        <v>82298.618421052641</v>
      </c>
      <c r="H70" s="1223">
        <f t="shared" ref="H70" si="7">F70/220000000</f>
        <v>2.843043181818182E-3</v>
      </c>
      <c r="I70" s="127">
        <f>125093.9+106844.1+57042+17850+11900+100708.98+39267.15</f>
        <v>458706.13</v>
      </c>
      <c r="J70" s="220">
        <f t="shared" ref="J70:J81" si="8">I70/7.6</f>
        <v>60356.06973684211</v>
      </c>
      <c r="K70" s="221">
        <f t="shared" si="5"/>
        <v>0.73337889377499621</v>
      </c>
      <c r="L70" s="222">
        <f t="shared" ref="L70:L71" si="9">I70/220000000</f>
        <v>2.0850278636363635E-3</v>
      </c>
      <c r="M70" s="223"/>
      <c r="N70" s="55"/>
    </row>
    <row r="71" spans="1:17" ht="30" x14ac:dyDescent="0.25">
      <c r="A71" s="55"/>
      <c r="B71" s="228">
        <v>67</v>
      </c>
      <c r="C71" s="206" t="s">
        <v>495</v>
      </c>
      <c r="D71" s="247" t="s">
        <v>496</v>
      </c>
      <c r="E71" s="247" t="s">
        <v>497</v>
      </c>
      <c r="F71" s="225">
        <v>264400</v>
      </c>
      <c r="G71" s="209">
        <f t="shared" si="6"/>
        <v>34789.473684210527</v>
      </c>
      <c r="H71" s="1222">
        <f>F71/220000000</f>
        <v>1.2018181818181817E-3</v>
      </c>
      <c r="I71" s="211">
        <f>113150+113210.87+14875</f>
        <v>241235.87</v>
      </c>
      <c r="J71" s="212">
        <f t="shared" si="8"/>
        <v>31741.561842105264</v>
      </c>
      <c r="K71" s="213">
        <f t="shared" si="5"/>
        <v>0.91238982602118002</v>
      </c>
      <c r="L71" s="214">
        <f t="shared" si="9"/>
        <v>1.0965266818181818E-3</v>
      </c>
      <c r="M71" s="131" t="s">
        <v>302</v>
      </c>
      <c r="N71" s="55"/>
    </row>
    <row r="72" spans="1:17" ht="45" x14ac:dyDescent="0.25">
      <c r="A72" s="55"/>
      <c r="B72" s="226">
        <v>68</v>
      </c>
      <c r="C72" s="217" t="s">
        <v>498</v>
      </c>
      <c r="D72" s="248" t="s">
        <v>499</v>
      </c>
      <c r="E72" s="248" t="s">
        <v>500</v>
      </c>
      <c r="F72" s="230">
        <v>427470</v>
      </c>
      <c r="G72" s="219">
        <f t="shared" si="6"/>
        <v>56246.052631578947</v>
      </c>
      <c r="H72" s="1223">
        <f t="shared" ref="H72:H81" si="10">F72/220000000</f>
        <v>1.9430454545454545E-3</v>
      </c>
      <c r="I72" s="127">
        <f>12750+5227.5+75328.5+100499+141168.75+9562.5</f>
        <v>344536.25</v>
      </c>
      <c r="J72" s="220">
        <f t="shared" si="8"/>
        <v>45333.71710526316</v>
      </c>
      <c r="K72" s="221">
        <f t="shared" si="5"/>
        <v>0.80598930919128831</v>
      </c>
      <c r="L72" s="222">
        <f>I72/220000000</f>
        <v>1.5660738636363637E-3</v>
      </c>
      <c r="M72" s="223"/>
      <c r="N72" s="55"/>
    </row>
    <row r="73" spans="1:17" ht="45" x14ac:dyDescent="0.25">
      <c r="A73" s="55"/>
      <c r="B73" s="216">
        <v>69</v>
      </c>
      <c r="C73" s="217" t="s">
        <v>501</v>
      </c>
      <c r="D73" s="248" t="s">
        <v>502</v>
      </c>
      <c r="E73" s="248" t="s">
        <v>503</v>
      </c>
      <c r="F73" s="218">
        <v>572056</v>
      </c>
      <c r="G73" s="219">
        <f t="shared" si="6"/>
        <v>75270.526315789481</v>
      </c>
      <c r="H73" s="1223">
        <f t="shared" si="10"/>
        <v>2.6002545454545454E-3</v>
      </c>
      <c r="I73" s="127">
        <f>23800+6906.25+6906.25+23481.25</f>
        <v>61093.75</v>
      </c>
      <c r="J73" s="220">
        <f t="shared" si="8"/>
        <v>8038.6513157894742</v>
      </c>
      <c r="K73" s="221">
        <f t="shared" si="5"/>
        <v>0.1067967996140238</v>
      </c>
      <c r="L73" s="222">
        <f t="shared" ref="L73:L81" si="11">I73/220000000</f>
        <v>2.7769886363636365E-4</v>
      </c>
      <c r="M73" s="223"/>
      <c r="N73" s="55"/>
    </row>
    <row r="74" spans="1:17" ht="45" x14ac:dyDescent="0.25">
      <c r="A74" s="55"/>
      <c r="B74" s="226">
        <v>70</v>
      </c>
      <c r="C74" s="217" t="s">
        <v>504</v>
      </c>
      <c r="D74" s="248" t="s">
        <v>505</v>
      </c>
      <c r="E74" s="248" t="s">
        <v>506</v>
      </c>
      <c r="F74" s="218">
        <v>1368346.06</v>
      </c>
      <c r="G74" s="219">
        <f t="shared" si="6"/>
        <v>180045.53421052633</v>
      </c>
      <c r="H74" s="1223">
        <f t="shared" si="10"/>
        <v>6.2197548181818184E-3</v>
      </c>
      <c r="I74" s="236">
        <f>38250+5525+42500+273669.21</f>
        <v>359944.21</v>
      </c>
      <c r="J74" s="220">
        <f t="shared" si="8"/>
        <v>47361.080263157899</v>
      </c>
      <c r="K74" s="221">
        <f t="shared" si="5"/>
        <v>0.2630505692397726</v>
      </c>
      <c r="L74" s="222">
        <f t="shared" si="11"/>
        <v>1.6361100454545456E-3</v>
      </c>
      <c r="M74" s="223"/>
      <c r="N74" s="55"/>
    </row>
    <row r="75" spans="1:17" ht="45" x14ac:dyDescent="0.25">
      <c r="A75" s="55"/>
      <c r="B75" s="216">
        <v>71</v>
      </c>
      <c r="C75" s="217" t="s">
        <v>507</v>
      </c>
      <c r="D75" s="248" t="s">
        <v>508</v>
      </c>
      <c r="E75" s="248" t="s">
        <v>509</v>
      </c>
      <c r="F75" s="218">
        <v>3082818.5</v>
      </c>
      <c r="G75" s="219">
        <f t="shared" si="6"/>
        <v>405634.01315789478</v>
      </c>
      <c r="H75" s="1223">
        <f t="shared" si="10"/>
        <v>1.4012811363636364E-2</v>
      </c>
      <c r="I75" s="127">
        <f>63750+6375+19125+72675+28475</f>
        <v>190400</v>
      </c>
      <c r="J75" s="220">
        <f t="shared" si="8"/>
        <v>25052.63157894737</v>
      </c>
      <c r="K75" s="221">
        <f t="shared" si="5"/>
        <v>6.1761663879985149E-2</v>
      </c>
      <c r="L75" s="222">
        <f t="shared" si="11"/>
        <v>8.6545454545454545E-4</v>
      </c>
      <c r="M75" s="223"/>
      <c r="N75" s="55"/>
    </row>
    <row r="76" spans="1:17" ht="45" x14ac:dyDescent="0.25">
      <c r="A76" s="55"/>
      <c r="B76" s="226">
        <v>72</v>
      </c>
      <c r="C76" s="217" t="s">
        <v>510</v>
      </c>
      <c r="D76" s="248" t="s">
        <v>511</v>
      </c>
      <c r="E76" s="248" t="s">
        <v>512</v>
      </c>
      <c r="F76" s="227">
        <v>450350</v>
      </c>
      <c r="G76" s="219">
        <f t="shared" si="6"/>
        <v>59256.578947368427</v>
      </c>
      <c r="H76" s="1223">
        <f t="shared" si="10"/>
        <v>2.0470454545454546E-3</v>
      </c>
      <c r="I76" s="237">
        <f>17000+3187.5+79842.5+107226.5+17212.5+197793</f>
        <v>422262</v>
      </c>
      <c r="J76" s="220">
        <f t="shared" si="8"/>
        <v>55560.789473684214</v>
      </c>
      <c r="K76" s="221">
        <f t="shared" si="5"/>
        <v>0.93763073165315869</v>
      </c>
      <c r="L76" s="222">
        <f t="shared" si="11"/>
        <v>1.9193727272727272E-3</v>
      </c>
      <c r="M76" s="223"/>
      <c r="N76" s="55"/>
    </row>
    <row r="77" spans="1:17" ht="30" x14ac:dyDescent="0.25">
      <c r="A77" s="55"/>
      <c r="B77" s="216">
        <v>73</v>
      </c>
      <c r="C77" s="249" t="s">
        <v>513</v>
      </c>
      <c r="D77" s="250" t="s">
        <v>514</v>
      </c>
      <c r="E77" s="250" t="s">
        <v>515</v>
      </c>
      <c r="F77" s="218">
        <v>11170747.449999999</v>
      </c>
      <c r="G77" s="219">
        <f t="shared" si="6"/>
        <v>1469835.1907894737</v>
      </c>
      <c r="H77" s="1223">
        <f t="shared" si="10"/>
        <v>5.077612477272727E-2</v>
      </c>
      <c r="I77" s="251">
        <f>1796689.76+1201035.34+3448684.07+3088661.62+249095.38</f>
        <v>9784166.1699999999</v>
      </c>
      <c r="J77" s="220">
        <f t="shared" si="8"/>
        <v>1287390.2855263159</v>
      </c>
      <c r="K77" s="221">
        <f t="shared" si="5"/>
        <v>0.87587390313796776</v>
      </c>
      <c r="L77" s="222">
        <f t="shared" si="11"/>
        <v>4.4473482590909087E-2</v>
      </c>
      <c r="M77" s="223"/>
      <c r="N77" s="55"/>
      <c r="Q77" s="224"/>
    </row>
    <row r="78" spans="1:17" ht="45" x14ac:dyDescent="0.25">
      <c r="A78" s="55"/>
      <c r="B78" s="226">
        <v>74</v>
      </c>
      <c r="C78" s="249" t="s">
        <v>516</v>
      </c>
      <c r="D78" s="250" t="s">
        <v>517</v>
      </c>
      <c r="E78" s="250" t="s">
        <v>518</v>
      </c>
      <c r="F78" s="218">
        <v>5118712.3099999996</v>
      </c>
      <c r="G78" s="219">
        <f t="shared" si="6"/>
        <v>673514.77763157897</v>
      </c>
      <c r="H78" s="1223">
        <f t="shared" si="10"/>
        <v>2.3266874136363636E-2</v>
      </c>
      <c r="I78" s="251">
        <f>366362.51+62367.37+81399.12+27033.01</f>
        <v>537162.01</v>
      </c>
      <c r="J78" s="220">
        <f t="shared" si="8"/>
        <v>70679.211842105273</v>
      </c>
      <c r="K78" s="221">
        <f t="shared" si="5"/>
        <v>0.10494084790633605</v>
      </c>
      <c r="L78" s="222">
        <f t="shared" si="11"/>
        <v>2.4416454999999998E-3</v>
      </c>
      <c r="M78" s="223"/>
      <c r="N78" s="55"/>
    </row>
    <row r="79" spans="1:17" ht="30" x14ac:dyDescent="0.25">
      <c r="A79" s="55"/>
      <c r="B79" s="252">
        <v>75</v>
      </c>
      <c r="C79" s="249" t="s">
        <v>519</v>
      </c>
      <c r="D79" s="250" t="s">
        <v>520</v>
      </c>
      <c r="E79" s="250" t="s">
        <v>521</v>
      </c>
      <c r="F79" s="253">
        <v>3359967.46</v>
      </c>
      <c r="G79" s="219">
        <f t="shared" si="6"/>
        <v>442100.98157894739</v>
      </c>
      <c r="H79" s="1223">
        <f t="shared" si="10"/>
        <v>1.5272579363636364E-2</v>
      </c>
      <c r="I79" s="251">
        <f>57800+16212.84+8561.69+9533.11+4291.3</f>
        <v>96398.94</v>
      </c>
      <c r="J79" s="220">
        <f t="shared" si="8"/>
        <v>12684.07105263158</v>
      </c>
      <c r="K79" s="221">
        <f t="shared" si="5"/>
        <v>2.8690438567521129E-2</v>
      </c>
      <c r="L79" s="222">
        <f t="shared" si="11"/>
        <v>4.3817699999999999E-4</v>
      </c>
      <c r="M79" s="223"/>
      <c r="N79" s="55"/>
    </row>
    <row r="80" spans="1:17" ht="60" x14ac:dyDescent="0.25">
      <c r="A80" s="55"/>
      <c r="B80" s="226">
        <v>76</v>
      </c>
      <c r="C80" s="254" t="s">
        <v>522</v>
      </c>
      <c r="D80" s="248" t="s">
        <v>523</v>
      </c>
      <c r="E80" s="248" t="s">
        <v>524</v>
      </c>
      <c r="F80" s="218">
        <v>4552583.07</v>
      </c>
      <c r="G80" s="219">
        <f t="shared" si="6"/>
        <v>599024.08815789479</v>
      </c>
      <c r="H80" s="1223">
        <f t="shared" si="10"/>
        <v>2.0693559409090911E-2</v>
      </c>
      <c r="I80" s="1184">
        <f>397035+156229.99+14875+186265.49+36125+910516.61</f>
        <v>1701047.0899999999</v>
      </c>
      <c r="J80" s="1185">
        <f t="shared" si="8"/>
        <v>223821.98552631578</v>
      </c>
      <c r="K80" s="1186">
        <f t="shared" si="5"/>
        <v>0.37364438250656673</v>
      </c>
      <c r="L80" s="1187">
        <f t="shared" si="11"/>
        <v>7.7320322272727265E-3</v>
      </c>
      <c r="M80" s="223"/>
      <c r="N80" s="55"/>
    </row>
    <row r="81" spans="1:14" ht="54" customHeight="1" thickBot="1" x14ac:dyDescent="0.3">
      <c r="A81" s="55"/>
      <c r="B81" s="255">
        <v>77</v>
      </c>
      <c r="C81" s="256" t="s">
        <v>525</v>
      </c>
      <c r="D81" s="257" t="s">
        <v>526</v>
      </c>
      <c r="E81" s="257" t="s">
        <v>527</v>
      </c>
      <c r="F81" s="258">
        <v>11593679.76</v>
      </c>
      <c r="G81" s="259">
        <f t="shared" si="6"/>
        <v>1525484.1789473684</v>
      </c>
      <c r="H81" s="1226">
        <f t="shared" si="10"/>
        <v>5.2698544363636364E-2</v>
      </c>
      <c r="I81" s="975">
        <f>418200+13316.64+13316.64+2318735.95+2795217.21+1167621.54+2585352.46</f>
        <v>9311760.4400000013</v>
      </c>
      <c r="J81" s="976">
        <f t="shared" si="8"/>
        <v>1225231.6368421055</v>
      </c>
      <c r="K81" s="977">
        <f t="shared" si="5"/>
        <v>0.80317557779429316</v>
      </c>
      <c r="L81" s="978">
        <f t="shared" si="11"/>
        <v>4.2326183818181824E-2</v>
      </c>
      <c r="M81" s="260"/>
      <c r="N81" s="55"/>
    </row>
    <row r="82" spans="1:14" ht="38.450000000000003" customHeight="1" thickBot="1" x14ac:dyDescent="0.3">
      <c r="A82" s="55"/>
      <c r="B82" s="261"/>
      <c r="C82" s="261"/>
      <c r="D82" s="58"/>
      <c r="E82" s="262" t="s">
        <v>294</v>
      </c>
      <c r="F82" s="263">
        <f>SUM(F5:F81)</f>
        <v>191604869.61000001</v>
      </c>
      <c r="G82" s="263">
        <f>SUM(G5:G81)</f>
        <v>25211167.053947356</v>
      </c>
      <c r="H82" s="263">
        <f>F82/220000000*100</f>
        <v>87.093122550000004</v>
      </c>
      <c r="I82" s="1188">
        <f>SUM(I5:I81)</f>
        <v>109172189.37999997</v>
      </c>
      <c r="J82" s="1188">
        <f>SUM(J5:J81)</f>
        <v>14364761.76052632</v>
      </c>
      <c r="K82" s="1189">
        <f t="shared" si="5"/>
        <v>0.5697777389594183</v>
      </c>
      <c r="L82" s="179"/>
      <c r="N82" s="55"/>
    </row>
    <row r="90" spans="1:14" x14ac:dyDescent="0.25">
      <c r="E90" s="265"/>
      <c r="F90" s="265"/>
      <c r="G90" s="266"/>
      <c r="H90" s="266"/>
      <c r="I90" s="267"/>
    </row>
    <row r="91" spans="1:14" x14ac:dyDescent="0.25">
      <c r="E91" s="265"/>
      <c r="F91" s="265"/>
      <c r="G91" s="266"/>
      <c r="H91" s="266"/>
      <c r="I91" s="267"/>
    </row>
    <row r="92" spans="1:14" x14ac:dyDescent="0.25">
      <c r="E92" s="265"/>
      <c r="F92" s="265"/>
      <c r="G92" s="266"/>
      <c r="H92" s="266"/>
      <c r="I92" s="266"/>
    </row>
    <row r="93" spans="1:14" x14ac:dyDescent="0.25">
      <c r="E93" s="265"/>
      <c r="F93" s="265"/>
      <c r="G93" s="266"/>
      <c r="H93" s="266"/>
      <c r="I93" s="266"/>
    </row>
    <row r="94" spans="1:14" x14ac:dyDescent="0.25">
      <c r="E94" s="265"/>
      <c r="F94" s="268"/>
      <c r="G94" s="266"/>
      <c r="H94" s="266"/>
      <c r="I94" s="266"/>
    </row>
    <row r="95" spans="1:14" x14ac:dyDescent="0.25">
      <c r="E95" s="265"/>
      <c r="F95" s="265"/>
      <c r="G95" s="266"/>
      <c r="H95" s="266"/>
      <c r="I95" s="266"/>
    </row>
    <row r="96" spans="1:14" x14ac:dyDescent="0.25">
      <c r="E96" s="265"/>
      <c r="F96" s="265"/>
      <c r="G96" s="266"/>
      <c r="H96" s="266"/>
      <c r="I96" s="266"/>
    </row>
    <row r="97" spans="5:9" x14ac:dyDescent="0.25">
      <c r="E97" s="265"/>
      <c r="F97" s="265"/>
      <c r="G97" s="266"/>
      <c r="H97" s="266"/>
      <c r="I97" s="266"/>
    </row>
    <row r="98" spans="5:9" x14ac:dyDescent="0.25">
      <c r="E98" s="265"/>
      <c r="F98" s="265"/>
      <c r="G98" s="266"/>
      <c r="H98" s="266"/>
      <c r="I98" s="266"/>
    </row>
    <row r="99" spans="5:9" x14ac:dyDescent="0.25">
      <c r="E99" s="265"/>
      <c r="F99" s="265"/>
      <c r="G99" s="266"/>
      <c r="H99" s="266"/>
      <c r="I99" s="266"/>
    </row>
    <row r="100" spans="5:9" x14ac:dyDescent="0.25">
      <c r="E100" s="265"/>
      <c r="F100" s="265"/>
      <c r="G100" s="266"/>
      <c r="H100" s="266"/>
      <c r="I100" s="266"/>
    </row>
    <row r="101" spans="5:9" x14ac:dyDescent="0.25">
      <c r="E101" s="265"/>
      <c r="F101" s="265"/>
      <c r="G101" s="266"/>
      <c r="H101" s="266"/>
      <c r="I101" s="266"/>
    </row>
    <row r="102" spans="5:9" x14ac:dyDescent="0.25">
      <c r="E102" s="265"/>
      <c r="F102" s="265"/>
      <c r="G102" s="266"/>
      <c r="H102" s="266"/>
      <c r="I102" s="266"/>
    </row>
    <row r="103" spans="5:9" x14ac:dyDescent="0.25">
      <c r="E103" s="265"/>
      <c r="F103" s="265"/>
      <c r="G103" s="266"/>
      <c r="H103" s="266"/>
      <c r="I103" s="266"/>
    </row>
    <row r="104" spans="5:9" x14ac:dyDescent="0.25">
      <c r="E104" s="265"/>
      <c r="F104" s="265"/>
      <c r="G104" s="266"/>
      <c r="H104" s="266"/>
      <c r="I104" s="266"/>
    </row>
    <row r="105" spans="5:9" x14ac:dyDescent="0.25">
      <c r="E105" s="265"/>
      <c r="F105" s="265"/>
      <c r="G105" s="266"/>
      <c r="H105" s="266"/>
      <c r="I105" s="266"/>
    </row>
    <row r="106" spans="5:9" x14ac:dyDescent="0.25">
      <c r="E106" s="265"/>
      <c r="F106" s="265"/>
      <c r="G106" s="266"/>
      <c r="H106" s="266"/>
      <c r="I106" s="266"/>
    </row>
  </sheetData>
  <pageMargins left="0.7" right="0.7" top="0.75" bottom="0.75" header="0.3" footer="0.3"/>
  <pageSetup paperSize="8" scale="3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239"/>
  <sheetViews>
    <sheetView topLeftCell="G1" zoomScaleNormal="100" workbookViewId="0">
      <selection activeCell="T207" sqref="T207:Y207"/>
    </sheetView>
  </sheetViews>
  <sheetFormatPr defaultColWidth="13" defaultRowHeight="12.75" x14ac:dyDescent="0.2"/>
  <cols>
    <col min="1" max="4" width="13" style="830" hidden="1" customWidth="1"/>
    <col min="5" max="5" width="16.42578125" style="830" hidden="1" customWidth="1"/>
    <col min="6" max="6" width="25.42578125" style="1149" hidden="1" customWidth="1"/>
    <col min="7" max="7" width="5.140625" style="1150" customWidth="1"/>
    <col min="8" max="8" width="22" style="830" customWidth="1"/>
    <col min="9" max="9" width="21.85546875" style="830" customWidth="1"/>
    <col min="10" max="10" width="22.42578125" style="830" customWidth="1"/>
    <col min="11" max="11" width="17" style="830" customWidth="1"/>
    <col min="12" max="12" width="18" style="830" customWidth="1"/>
    <col min="13" max="13" width="19.42578125" style="830" customWidth="1"/>
    <col min="14" max="14" width="19.85546875" style="830" customWidth="1"/>
    <col min="15" max="15" width="20.85546875" style="830" bestFit="1" customWidth="1"/>
    <col min="16" max="16" width="18.85546875" style="830" customWidth="1"/>
    <col min="17" max="17" width="21" style="830" customWidth="1"/>
    <col min="18" max="18" width="17.5703125" style="830" customWidth="1"/>
    <col min="19" max="19" width="18.140625" style="830" customWidth="1"/>
    <col min="20" max="20" width="16" style="830" customWidth="1"/>
    <col min="21" max="16384" width="13" style="830"/>
  </cols>
  <sheetData>
    <row r="1" spans="1:23" ht="15" x14ac:dyDescent="0.25">
      <c r="A1" s="829"/>
      <c r="B1" s="829"/>
      <c r="C1" s="829"/>
      <c r="D1" s="829"/>
      <c r="E1" s="829"/>
      <c r="F1" s="1024"/>
      <c r="G1" s="1025"/>
      <c r="J1" s="1393" t="s">
        <v>1349</v>
      </c>
      <c r="K1" s="1394"/>
      <c r="L1" s="1394"/>
      <c r="M1" s="1394"/>
      <c r="N1" s="1394"/>
      <c r="O1" s="1394"/>
      <c r="R1" s="831"/>
      <c r="S1" s="558" t="s">
        <v>2127</v>
      </c>
    </row>
    <row r="2" spans="1:23" ht="10.5" customHeight="1" x14ac:dyDescent="0.2">
      <c r="A2" s="829"/>
      <c r="B2" s="829"/>
      <c r="C2" s="829"/>
      <c r="D2" s="829"/>
      <c r="E2" s="829"/>
      <c r="F2" s="1024"/>
      <c r="G2" s="1025"/>
      <c r="J2" s="1275"/>
      <c r="K2" s="1276"/>
      <c r="L2" s="1276"/>
      <c r="M2" s="1276"/>
      <c r="N2" s="1276"/>
      <c r="O2" s="1276"/>
    </row>
    <row r="3" spans="1:23" ht="15.75" customHeight="1" x14ac:dyDescent="0.2">
      <c r="A3" s="829"/>
      <c r="B3" s="829"/>
      <c r="C3" s="829"/>
      <c r="D3" s="829"/>
      <c r="E3" s="829"/>
      <c r="F3" s="1024"/>
      <c r="G3" s="1025"/>
      <c r="H3" s="1395" t="s">
        <v>1350</v>
      </c>
      <c r="I3" s="1395"/>
      <c r="J3" s="1395"/>
      <c r="K3" s="1395"/>
      <c r="L3" s="1395"/>
      <c r="M3" s="1395"/>
      <c r="N3" s="1395"/>
      <c r="O3" s="1395"/>
      <c r="P3" s="1395"/>
      <c r="Q3" s="1395"/>
      <c r="R3" s="1395"/>
    </row>
    <row r="4" spans="1:23" ht="9" customHeight="1" x14ac:dyDescent="0.2">
      <c r="A4" s="829"/>
      <c r="B4" s="829"/>
      <c r="C4" s="829"/>
      <c r="D4" s="829"/>
      <c r="E4" s="829"/>
      <c r="F4" s="1024"/>
      <c r="G4" s="1025"/>
      <c r="J4" s="1275"/>
      <c r="K4" s="1276"/>
      <c r="L4" s="1276"/>
      <c r="M4" s="1276"/>
      <c r="N4" s="1276"/>
      <c r="O4" s="1276"/>
    </row>
    <row r="5" spans="1:23" ht="14.25" customHeight="1" x14ac:dyDescent="0.2">
      <c r="A5" s="829"/>
      <c r="B5" s="829"/>
      <c r="C5" s="829"/>
      <c r="D5" s="829"/>
      <c r="E5" s="829"/>
      <c r="F5" s="1024"/>
      <c r="G5" s="1025"/>
      <c r="H5" s="1274"/>
      <c r="I5" s="1274" t="s">
        <v>1351</v>
      </c>
      <c r="J5" s="1026" t="s">
        <v>1352</v>
      </c>
      <c r="K5" s="1276"/>
      <c r="L5" s="1276"/>
      <c r="M5" s="1276"/>
      <c r="N5" s="1276"/>
      <c r="O5" s="1276"/>
    </row>
    <row r="6" spans="1:23" ht="21.75" customHeight="1" x14ac:dyDescent="0.2">
      <c r="A6" s="829"/>
      <c r="B6" s="829"/>
      <c r="C6" s="829"/>
      <c r="D6" s="829"/>
      <c r="E6" s="829"/>
      <c r="F6" s="1024"/>
      <c r="G6" s="1025"/>
      <c r="H6" s="1274" t="s">
        <v>1353</v>
      </c>
      <c r="I6" s="1274">
        <f>J6*7.6</f>
        <v>7974985641.3910131</v>
      </c>
      <c r="J6" s="1026">
        <v>1049340215.9725018</v>
      </c>
      <c r="K6" s="1277"/>
      <c r="L6" s="1277"/>
      <c r="M6" s="1277"/>
      <c r="N6" s="1277"/>
      <c r="O6" s="1277"/>
      <c r="P6" s="1277"/>
      <c r="Q6" s="1277"/>
      <c r="R6" s="1277"/>
    </row>
    <row r="7" spans="1:23" ht="21.75" customHeight="1" x14ac:dyDescent="0.2">
      <c r="A7" s="829"/>
      <c r="B7" s="829"/>
      <c r="C7" s="829"/>
      <c r="D7" s="829"/>
      <c r="E7" s="829"/>
      <c r="F7" s="1024"/>
      <c r="G7" s="1025"/>
      <c r="H7" s="1274" t="s">
        <v>1354</v>
      </c>
      <c r="I7" s="1274">
        <f>J7*7.6</f>
        <v>6454985641.5999994</v>
      </c>
      <c r="J7" s="1026">
        <v>849340216</v>
      </c>
      <c r="K7" s="1277"/>
      <c r="L7" s="1277"/>
      <c r="M7" s="1277"/>
      <c r="N7" s="1277"/>
      <c r="O7" s="1277"/>
      <c r="P7" s="1277"/>
      <c r="Q7" s="1277"/>
      <c r="R7" s="1277"/>
    </row>
    <row r="8" spans="1:23" ht="12" customHeight="1" x14ac:dyDescent="0.2">
      <c r="A8" s="829"/>
      <c r="B8" s="829"/>
      <c r="C8" s="829"/>
      <c r="D8" s="829"/>
      <c r="E8" s="829"/>
      <c r="F8" s="1024"/>
      <c r="G8" s="1025"/>
      <c r="H8" s="1279"/>
      <c r="J8" s="1277"/>
      <c r="K8" s="1277"/>
      <c r="L8" s="1277"/>
      <c r="M8" s="1277"/>
      <c r="N8" s="1277"/>
      <c r="O8" s="1277"/>
      <c r="P8" s="1277"/>
      <c r="Q8" s="1277"/>
      <c r="R8" s="1277"/>
    </row>
    <row r="9" spans="1:23" ht="52.5" customHeight="1" x14ac:dyDescent="0.2">
      <c r="A9" s="829"/>
      <c r="B9" s="829"/>
      <c r="C9" s="829"/>
      <c r="D9" s="829"/>
      <c r="E9" s="829"/>
      <c r="F9" s="1024"/>
      <c r="G9" s="1025"/>
      <c r="H9" s="1285"/>
      <c r="I9" s="1026" t="s">
        <v>1355</v>
      </c>
      <c r="J9" s="1026" t="s">
        <v>1356</v>
      </c>
      <c r="K9" s="1026" t="s">
        <v>1357</v>
      </c>
      <c r="L9" s="1274" t="s">
        <v>1358</v>
      </c>
      <c r="M9" s="1274" t="s">
        <v>1359</v>
      </c>
      <c r="N9" s="1274" t="s">
        <v>1360</v>
      </c>
      <c r="O9" s="1027" t="s">
        <v>1361</v>
      </c>
      <c r="P9" s="1028" t="s">
        <v>1362</v>
      </c>
      <c r="Q9" s="1026" t="s">
        <v>1363</v>
      </c>
      <c r="R9" s="1284" t="s">
        <v>1364</v>
      </c>
      <c r="S9" s="1027" t="s">
        <v>1365</v>
      </c>
      <c r="T9" s="1029" t="s">
        <v>1366</v>
      </c>
      <c r="U9" s="1277"/>
      <c r="V9" s="1277"/>
      <c r="W9" s="1277"/>
    </row>
    <row r="10" spans="1:23" ht="25.5" customHeight="1" x14ac:dyDescent="0.2">
      <c r="A10" s="829"/>
      <c r="B10" s="829"/>
      <c r="C10" s="829"/>
      <c r="D10" s="829"/>
      <c r="E10" s="829"/>
      <c r="F10" s="1024"/>
      <c r="G10" s="1025"/>
      <c r="H10" s="1274" t="s">
        <v>1367</v>
      </c>
      <c r="I10" s="1026">
        <f t="shared" ref="I10:K17" si="0">(L10/7.6)</f>
        <v>3324828540.0118418</v>
      </c>
      <c r="J10" s="1026">
        <f t="shared" si="0"/>
        <v>2643863720.3684211</v>
      </c>
      <c r="K10" s="1026">
        <f t="shared" si="0"/>
        <v>1851972901.5960526</v>
      </c>
      <c r="L10" s="1274">
        <f>L83</f>
        <v>25268696904.089996</v>
      </c>
      <c r="M10" s="1274">
        <f>M83</f>
        <v>20093364274.799999</v>
      </c>
      <c r="N10" s="1274">
        <f>N83</f>
        <v>14074994052.129999</v>
      </c>
      <c r="O10" s="1030">
        <f t="shared" ref="O10:O17" si="1">N10/$I$6</f>
        <v>1.7648927139228066</v>
      </c>
      <c r="P10" s="1031">
        <f>N10/$I$7</f>
        <v>2.1804841766683194</v>
      </c>
      <c r="Q10" s="1032">
        <f t="shared" ref="Q10:Q17" si="2">(R10/7.6)</f>
        <v>1851972901.5960526</v>
      </c>
      <c r="R10" s="1284">
        <f>N10</f>
        <v>14074994052.129999</v>
      </c>
      <c r="S10" s="1030">
        <f>O10</f>
        <v>1.7648927139228066</v>
      </c>
      <c r="T10" s="1033">
        <f>P10</f>
        <v>2.1804841766683194</v>
      </c>
      <c r="U10" s="1277"/>
      <c r="V10" s="1277"/>
      <c r="W10" s="1277"/>
    </row>
    <row r="11" spans="1:23" ht="27" customHeight="1" x14ac:dyDescent="0.2">
      <c r="A11" s="829"/>
      <c r="B11" s="829"/>
      <c r="C11" s="829"/>
      <c r="D11" s="829"/>
      <c r="E11" s="829"/>
      <c r="F11" s="1024"/>
      <c r="G11" s="1025"/>
      <c r="H11" s="1274" t="s">
        <v>1368</v>
      </c>
      <c r="I11" s="1026">
        <f t="shared" si="0"/>
        <v>0</v>
      </c>
      <c r="J11" s="1026">
        <f t="shared" si="0"/>
        <v>0</v>
      </c>
      <c r="K11" s="1026">
        <f t="shared" si="0"/>
        <v>0</v>
      </c>
      <c r="L11" s="1274">
        <f>L88</f>
        <v>0</v>
      </c>
      <c r="M11" s="1274">
        <f>M88</f>
        <v>0</v>
      </c>
      <c r="N11" s="1274">
        <f>N88</f>
        <v>0</v>
      </c>
      <c r="O11" s="1030">
        <f t="shared" si="1"/>
        <v>0</v>
      </c>
      <c r="P11" s="1031">
        <f t="shared" ref="P11:P17" si="3">N11/$I$7</f>
        <v>0</v>
      </c>
      <c r="Q11" s="1032">
        <f t="shared" si="2"/>
        <v>1851972901.5960526</v>
      </c>
      <c r="R11" s="1284">
        <f t="shared" ref="R11:T16" si="4">R10+N11</f>
        <v>14074994052.129999</v>
      </c>
      <c r="S11" s="1030">
        <f t="shared" si="4"/>
        <v>1.7648927139228066</v>
      </c>
      <c r="T11" s="1033">
        <f t="shared" si="4"/>
        <v>2.1804841766683194</v>
      </c>
      <c r="U11" s="1277"/>
      <c r="V11" s="1277"/>
      <c r="W11" s="1277"/>
    </row>
    <row r="12" spans="1:23" ht="27" customHeight="1" x14ac:dyDescent="0.2">
      <c r="A12" s="829"/>
      <c r="B12" s="829"/>
      <c r="C12" s="829"/>
      <c r="D12" s="829"/>
      <c r="E12" s="829"/>
      <c r="F12" s="1024"/>
      <c r="G12" s="1025"/>
      <c r="H12" s="1274" t="s">
        <v>1369</v>
      </c>
      <c r="I12" s="1026">
        <f t="shared" si="0"/>
        <v>16845983.47368421</v>
      </c>
      <c r="J12" s="1026">
        <f t="shared" si="0"/>
        <v>13476784.146052631</v>
      </c>
      <c r="K12" s="1026">
        <f t="shared" si="0"/>
        <v>9001676.9605263136</v>
      </c>
      <c r="L12" s="1274">
        <f>Q138</f>
        <v>128029474.39999999</v>
      </c>
      <c r="M12" s="1274">
        <f>R138</f>
        <v>102423559.50999999</v>
      </c>
      <c r="N12" s="1274">
        <f>S138</f>
        <v>68412744.899999976</v>
      </c>
      <c r="O12" s="1030">
        <f t="shared" si="1"/>
        <v>8.5784160594510224E-3</v>
      </c>
      <c r="P12" s="1031">
        <f t="shared" si="3"/>
        <v>1.0598434868561921E-2</v>
      </c>
      <c r="Q12" s="1032">
        <f t="shared" si="2"/>
        <v>1860974578.5565789</v>
      </c>
      <c r="R12" s="1284">
        <f t="shared" si="4"/>
        <v>14143406797.029999</v>
      </c>
      <c r="S12" s="1030">
        <f t="shared" si="4"/>
        <v>1.7734711299822576</v>
      </c>
      <c r="T12" s="1033">
        <f t="shared" si="4"/>
        <v>2.1910826115368813</v>
      </c>
      <c r="U12" s="1277"/>
      <c r="V12" s="1277"/>
      <c r="W12" s="1277"/>
    </row>
    <row r="13" spans="1:23" ht="36" customHeight="1" x14ac:dyDescent="0.2">
      <c r="A13" s="829"/>
      <c r="B13" s="829"/>
      <c r="C13" s="829"/>
      <c r="D13" s="829"/>
      <c r="E13" s="829"/>
      <c r="F13" s="1024"/>
      <c r="G13" s="1025"/>
      <c r="H13" s="1274" t="s">
        <v>1370</v>
      </c>
      <c r="I13" s="1026">
        <f t="shared" si="0"/>
        <v>133928571.42857143</v>
      </c>
      <c r="J13" s="1026">
        <f t="shared" si="0"/>
        <v>107142857.14285715</v>
      </c>
      <c r="K13" s="1026">
        <f t="shared" si="0"/>
        <v>65998323.03947369</v>
      </c>
      <c r="L13" s="1034">
        <f>N106</f>
        <v>1017857142.8571428</v>
      </c>
      <c r="M13" s="1034">
        <f>O106</f>
        <v>814285714.28571427</v>
      </c>
      <c r="N13" s="1034">
        <f>P106-S138</f>
        <v>501587255.10000002</v>
      </c>
      <c r="O13" s="1030">
        <f t="shared" si="1"/>
        <v>6.2895066857137583E-2</v>
      </c>
      <c r="P13" s="1031">
        <f t="shared" si="3"/>
        <v>7.7705402141788713E-2</v>
      </c>
      <c r="Q13" s="1032">
        <f t="shared" si="2"/>
        <v>1926972901.5960526</v>
      </c>
      <c r="R13" s="1284">
        <f t="shared" si="4"/>
        <v>14644994052.129999</v>
      </c>
      <c r="S13" s="1030">
        <f t="shared" si="4"/>
        <v>1.8363661968393952</v>
      </c>
      <c r="T13" s="1033">
        <f t="shared" si="4"/>
        <v>2.26878801367867</v>
      </c>
      <c r="U13" s="1277"/>
      <c r="V13" s="1277"/>
      <c r="W13" s="1277"/>
    </row>
    <row r="14" spans="1:23" ht="31.5" customHeight="1" x14ac:dyDescent="0.2">
      <c r="A14" s="829"/>
      <c r="B14" s="829"/>
      <c r="C14" s="829"/>
      <c r="D14" s="829"/>
      <c r="E14" s="829"/>
      <c r="F14" s="1024"/>
      <c r="G14" s="1025"/>
      <c r="H14" s="1274" t="s">
        <v>1371</v>
      </c>
      <c r="I14" s="1026">
        <f t="shared" si="0"/>
        <v>282251534.29078948</v>
      </c>
      <c r="J14" s="1026">
        <f t="shared" si="0"/>
        <v>225279127.17631578</v>
      </c>
      <c r="K14" s="1026">
        <f t="shared" si="0"/>
        <v>156633389.67763159</v>
      </c>
      <c r="L14" s="1274">
        <f>Q98</f>
        <v>2145111660.6100001</v>
      </c>
      <c r="M14" s="1274">
        <f>R98</f>
        <v>1712121366.54</v>
      </c>
      <c r="N14" s="1274">
        <f>S98</f>
        <v>1190413761.55</v>
      </c>
      <c r="O14" s="1030">
        <f t="shared" si="1"/>
        <v>0.14926845201722089</v>
      </c>
      <c r="P14" s="1031">
        <f t="shared" si="3"/>
        <v>0.18441772416629756</v>
      </c>
      <c r="Q14" s="1032">
        <f t="shared" si="2"/>
        <v>2083606291.273684</v>
      </c>
      <c r="R14" s="1284">
        <f t="shared" si="4"/>
        <v>15835407813.679998</v>
      </c>
      <c r="S14" s="1030">
        <f t="shared" si="4"/>
        <v>1.9856346488566161</v>
      </c>
      <c r="T14" s="1033">
        <f t="shared" si="4"/>
        <v>2.4532057378449674</v>
      </c>
      <c r="U14" s="1277"/>
      <c r="V14" s="1277"/>
      <c r="W14" s="1277"/>
    </row>
    <row r="15" spans="1:23" ht="89.25" x14ac:dyDescent="0.2">
      <c r="A15" s="829"/>
      <c r="B15" s="829"/>
      <c r="C15" s="829"/>
      <c r="D15" s="829"/>
      <c r="E15" s="829"/>
      <c r="F15" s="1024"/>
      <c r="G15" s="1025"/>
      <c r="H15" s="1274" t="s">
        <v>1372</v>
      </c>
      <c r="I15" s="1026">
        <f t="shared" si="0"/>
        <v>559822127.53289473</v>
      </c>
      <c r="J15" s="1026">
        <f t="shared" si="0"/>
        <v>447857701.97368425</v>
      </c>
      <c r="K15" s="1026">
        <f t="shared" si="0"/>
        <v>318561874.68684214</v>
      </c>
      <c r="L15" s="1274">
        <f>O148</f>
        <v>4254648169.25</v>
      </c>
      <c r="M15" s="1274">
        <f>P148</f>
        <v>3403718535</v>
      </c>
      <c r="N15" s="1274">
        <f>Q148</f>
        <v>2421070247.6200004</v>
      </c>
      <c r="O15" s="1030">
        <f t="shared" si="1"/>
        <v>0.30358302277741939</v>
      </c>
      <c r="P15" s="1031">
        <f t="shared" si="3"/>
        <v>0.37506981146744872</v>
      </c>
      <c r="Q15" s="1032">
        <f t="shared" si="2"/>
        <v>2402168165.9605265</v>
      </c>
      <c r="R15" s="1284">
        <f t="shared" si="4"/>
        <v>18256478061.299999</v>
      </c>
      <c r="S15" s="1030">
        <f t="shared" si="4"/>
        <v>2.2892176716340353</v>
      </c>
      <c r="T15" s="1033">
        <f t="shared" si="4"/>
        <v>2.8282755493124161</v>
      </c>
      <c r="U15" s="1277"/>
      <c r="V15" s="1277"/>
      <c r="W15" s="1277"/>
    </row>
    <row r="16" spans="1:23" ht="15" x14ac:dyDescent="0.2">
      <c r="A16" s="829"/>
      <c r="B16" s="829"/>
      <c r="C16" s="829"/>
      <c r="D16" s="829"/>
      <c r="E16" s="829"/>
      <c r="F16" s="1024"/>
      <c r="G16" s="1025"/>
      <c r="H16" s="1274" t="s">
        <v>1373</v>
      </c>
      <c r="I16" s="1026">
        <f>(L16/7.6)</f>
        <v>83881578.947368428</v>
      </c>
      <c r="J16" s="1026">
        <f>(M16/7.6)</f>
        <v>67105263.157894738</v>
      </c>
      <c r="K16" s="1026">
        <f>(N16/7.6)</f>
        <v>57039473.684210531</v>
      </c>
      <c r="L16" s="1274">
        <f>Q101</f>
        <v>637500000</v>
      </c>
      <c r="M16" s="1274">
        <f>R101</f>
        <v>510000000</v>
      </c>
      <c r="N16" s="1274">
        <f>S101</f>
        <v>433500000</v>
      </c>
      <c r="O16" s="1030">
        <f t="shared" si="1"/>
        <v>5.4357464639195018E-2</v>
      </c>
      <c r="P16" s="1031">
        <f t="shared" si="3"/>
        <v>6.715739183155614E-2</v>
      </c>
      <c r="Q16" s="1032">
        <f t="shared" si="2"/>
        <v>2459207639.6447368</v>
      </c>
      <c r="R16" s="1284">
        <f t="shared" si="4"/>
        <v>18689978061.299999</v>
      </c>
      <c r="S16" s="1030">
        <f t="shared" si="4"/>
        <v>2.3435751362732304</v>
      </c>
      <c r="T16" s="1033">
        <f t="shared" si="4"/>
        <v>2.8954329411439721</v>
      </c>
      <c r="U16" s="1277"/>
      <c r="V16" s="1277"/>
      <c r="W16" s="1277"/>
    </row>
    <row r="17" spans="1:21" ht="48.75" customHeight="1" x14ac:dyDescent="0.2">
      <c r="A17" s="829"/>
      <c r="B17" s="829"/>
      <c r="C17" s="829"/>
      <c r="D17" s="829"/>
      <c r="E17" s="829"/>
      <c r="F17" s="1024"/>
      <c r="G17" s="1025"/>
      <c r="H17" s="1274" t="s">
        <v>1374</v>
      </c>
      <c r="I17" s="1026">
        <f t="shared" si="0"/>
        <v>283586976.48026317</v>
      </c>
      <c r="J17" s="1026">
        <f t="shared" si="0"/>
        <v>226869581.18421054</v>
      </c>
      <c r="K17" s="1026">
        <f t="shared" si="0"/>
        <v>159130962.99342105</v>
      </c>
      <c r="L17" s="1274">
        <f>L165</f>
        <v>2155261021.25</v>
      </c>
      <c r="M17" s="1035">
        <f>M165</f>
        <v>1724208817</v>
      </c>
      <c r="N17" s="1036">
        <f>N165</f>
        <v>1209395318.75</v>
      </c>
      <c r="O17" s="1030">
        <f t="shared" si="1"/>
        <v>0.15164858886680765</v>
      </c>
      <c r="P17" s="1031">
        <f t="shared" si="3"/>
        <v>0.1873583282596159</v>
      </c>
      <c r="Q17" s="1032">
        <f t="shared" si="2"/>
        <v>2561299128.9539475</v>
      </c>
      <c r="R17" s="1284">
        <f>R15+N17</f>
        <v>19465873380.049999</v>
      </c>
      <c r="S17" s="1030">
        <f>S16+O17</f>
        <v>2.495223725140038</v>
      </c>
      <c r="T17" s="1033">
        <f>T16+P17</f>
        <v>3.0827912694035882</v>
      </c>
    </row>
    <row r="18" spans="1:21" ht="15" x14ac:dyDescent="0.2">
      <c r="A18" s="829"/>
      <c r="B18" s="829"/>
      <c r="C18" s="829"/>
      <c r="D18" s="829"/>
      <c r="E18" s="829"/>
      <c r="F18" s="1024"/>
      <c r="G18" s="1025"/>
      <c r="H18" s="1037"/>
      <c r="I18" s="1037"/>
      <c r="J18" s="1037"/>
      <c r="K18" s="1037"/>
      <c r="L18" s="1037"/>
      <c r="M18" s="1038"/>
      <c r="N18" s="1277"/>
      <c r="O18" s="1277"/>
      <c r="P18" s="1277"/>
      <c r="Q18" s="1277"/>
      <c r="R18" s="1277"/>
    </row>
    <row r="19" spans="1:21" ht="15" x14ac:dyDescent="0.2">
      <c r="A19" s="829"/>
      <c r="B19" s="829"/>
      <c r="C19" s="829"/>
      <c r="D19" s="829"/>
      <c r="E19" s="829"/>
      <c r="F19" s="1024"/>
      <c r="G19" s="1025"/>
      <c r="H19" s="1039"/>
      <c r="I19" s="1040"/>
      <c r="J19" s="1040"/>
      <c r="K19" s="1040"/>
      <c r="L19" s="1040"/>
      <c r="M19" s="1040"/>
      <c r="N19" s="1277"/>
      <c r="O19" s="1277"/>
      <c r="P19" s="1277"/>
      <c r="Q19" s="1277"/>
      <c r="R19" s="1277"/>
    </row>
    <row r="20" spans="1:21" ht="15" x14ac:dyDescent="0.2">
      <c r="A20" s="829"/>
      <c r="B20" s="829"/>
      <c r="C20" s="829"/>
      <c r="D20" s="829"/>
      <c r="E20" s="829"/>
      <c r="F20" s="1024"/>
      <c r="G20" s="1025"/>
      <c r="H20" s="1393" t="s">
        <v>1375</v>
      </c>
      <c r="I20" s="1394"/>
      <c r="J20" s="1394"/>
      <c r="K20" s="1396"/>
      <c r="L20" s="1277"/>
      <c r="M20" s="1277"/>
      <c r="N20" s="1277"/>
      <c r="O20" s="1277"/>
      <c r="P20" s="1277"/>
      <c r="Q20" s="1277"/>
      <c r="R20" s="1277"/>
    </row>
    <row r="21" spans="1:21" ht="9" customHeight="1" x14ac:dyDescent="0.2">
      <c r="A21" s="829"/>
      <c r="B21" s="829"/>
      <c r="C21" s="829"/>
      <c r="D21" s="829"/>
      <c r="E21" s="829"/>
      <c r="F21" s="1024"/>
      <c r="G21" s="1025"/>
      <c r="H21" s="1279"/>
      <c r="I21" s="1277"/>
      <c r="J21" s="1277"/>
      <c r="K21" s="1277"/>
      <c r="L21" s="1277"/>
      <c r="M21" s="1277"/>
      <c r="N21" s="1277"/>
      <c r="O21" s="1277"/>
      <c r="P21" s="1277"/>
      <c r="Q21" s="1277"/>
      <c r="R21" s="1277"/>
    </row>
    <row r="22" spans="1:21" ht="76.5" customHeight="1" x14ac:dyDescent="0.2">
      <c r="A22" s="1041" t="s">
        <v>1376</v>
      </c>
      <c r="B22" s="1041" t="s">
        <v>1377</v>
      </c>
      <c r="C22" s="1041" t="s">
        <v>1378</v>
      </c>
      <c r="D22" s="1041" t="s">
        <v>1379</v>
      </c>
      <c r="E22" s="1041" t="s">
        <v>1380</v>
      </c>
      <c r="F22" s="1042" t="s">
        <v>1381</v>
      </c>
      <c r="G22" s="1043"/>
      <c r="H22" s="1274" t="s">
        <v>1382</v>
      </c>
      <c r="I22" s="1026" t="s">
        <v>1355</v>
      </c>
      <c r="J22" s="1026" t="s">
        <v>1356</v>
      </c>
      <c r="K22" s="1026" t="s">
        <v>1357</v>
      </c>
      <c r="L22" s="1274" t="s">
        <v>1358</v>
      </c>
      <c r="M22" s="1274" t="s">
        <v>1359</v>
      </c>
      <c r="N22" s="1274" t="s">
        <v>1360</v>
      </c>
      <c r="O22" s="1274" t="s">
        <v>1383</v>
      </c>
      <c r="P22" s="1274" t="s">
        <v>1384</v>
      </c>
      <c r="Q22" s="1274" t="s">
        <v>1385</v>
      </c>
      <c r="R22" s="1044" t="s">
        <v>1386</v>
      </c>
      <c r="S22" s="1044" t="s">
        <v>1387</v>
      </c>
      <c r="T22" s="1277"/>
      <c r="U22" s="1277"/>
    </row>
    <row r="23" spans="1:21" ht="12.75" customHeight="1" x14ac:dyDescent="0.2">
      <c r="A23" s="1045" t="s">
        <v>1388</v>
      </c>
      <c r="B23" s="1045" t="s">
        <v>1389</v>
      </c>
      <c r="C23" s="1045" t="s">
        <v>1390</v>
      </c>
      <c r="D23" s="1045" t="s">
        <v>1391</v>
      </c>
      <c r="E23" s="1046" t="s">
        <v>1392</v>
      </c>
      <c r="F23" s="1047" t="s">
        <v>1393</v>
      </c>
      <c r="G23" s="1048">
        <v>1</v>
      </c>
      <c r="H23" s="1274" t="s">
        <v>1394</v>
      </c>
      <c r="I23" s="1049">
        <f t="shared" ref="I23:K53" si="5">(L23/7.6)</f>
        <v>56730638.078947365</v>
      </c>
      <c r="J23" s="1049">
        <f t="shared" si="5"/>
        <v>45384510.463157892</v>
      </c>
      <c r="K23" s="1049">
        <f t="shared" si="5"/>
        <v>32223000.514473684</v>
      </c>
      <c r="L23" s="1280">
        <v>431152849.39999998</v>
      </c>
      <c r="M23" s="1280">
        <v>344922279.51999998</v>
      </c>
      <c r="N23" s="1280">
        <v>244894803.91</v>
      </c>
      <c r="O23" s="1050"/>
      <c r="P23" s="1050">
        <v>5598275.8300000001</v>
      </c>
      <c r="Q23" s="1050">
        <v>175954571.47999999</v>
      </c>
      <c r="R23" s="1050">
        <v>175954571.47999999</v>
      </c>
      <c r="S23" s="1050">
        <v>181552847.31</v>
      </c>
      <c r="T23" s="1277"/>
      <c r="U23" s="1277"/>
    </row>
    <row r="24" spans="1:21" ht="12.75" customHeight="1" x14ac:dyDescent="0.2">
      <c r="A24" s="1045" t="s">
        <v>1395</v>
      </c>
      <c r="B24" s="1045" t="s">
        <v>1396</v>
      </c>
      <c r="C24" s="1045" t="s">
        <v>1397</v>
      </c>
      <c r="D24" s="1045">
        <v>42465</v>
      </c>
      <c r="E24" s="1046" t="s">
        <v>1398</v>
      </c>
      <c r="F24" s="1047" t="s">
        <v>1399</v>
      </c>
      <c r="G24" s="1048">
        <v>2</v>
      </c>
      <c r="H24" s="1198" t="s">
        <v>1400</v>
      </c>
      <c r="I24" s="1049">
        <f t="shared" si="5"/>
        <v>36819547.368421055</v>
      </c>
      <c r="J24" s="1049">
        <f t="shared" si="5"/>
        <v>29455640.52631579</v>
      </c>
      <c r="K24" s="1049">
        <f t="shared" si="5"/>
        <v>21129672.721052632</v>
      </c>
      <c r="L24" s="1280">
        <v>279828560</v>
      </c>
      <c r="M24" s="1280">
        <v>223862868</v>
      </c>
      <c r="N24" s="1280">
        <v>160585512.68000001</v>
      </c>
      <c r="O24" s="1050"/>
      <c r="P24" s="1050">
        <v>4782268.8299999991</v>
      </c>
      <c r="Q24" s="1050">
        <v>49501556.299999997</v>
      </c>
      <c r="R24" s="1050">
        <v>49501556.299999997</v>
      </c>
      <c r="S24" s="1050">
        <v>54283825.130000003</v>
      </c>
      <c r="T24" s="1277"/>
      <c r="U24" s="1277"/>
    </row>
    <row r="25" spans="1:21" ht="12.75" customHeight="1" x14ac:dyDescent="0.2">
      <c r="A25" s="1045"/>
      <c r="B25" s="1045" t="s">
        <v>1401</v>
      </c>
      <c r="C25" s="1045" t="s">
        <v>1402</v>
      </c>
      <c r="D25" s="1045"/>
      <c r="E25" s="1046" t="s">
        <v>1403</v>
      </c>
      <c r="F25" s="1047" t="s">
        <v>1404</v>
      </c>
      <c r="G25" s="1048">
        <v>3</v>
      </c>
      <c r="H25" s="1274" t="s">
        <v>1405</v>
      </c>
      <c r="I25" s="1049">
        <f t="shared" si="5"/>
        <v>21682016.431578949</v>
      </c>
      <c r="J25" s="1049">
        <f t="shared" si="5"/>
        <v>17345613.144736845</v>
      </c>
      <c r="K25" s="1049">
        <f t="shared" si="5"/>
        <v>12179167.889473684</v>
      </c>
      <c r="L25" s="1280">
        <v>164783324.88</v>
      </c>
      <c r="M25" s="1280">
        <v>131826659.90000001</v>
      </c>
      <c r="N25" s="1280">
        <v>92561675.959999993</v>
      </c>
      <c r="O25" s="1050">
        <v>15617590.449999999</v>
      </c>
      <c r="P25" s="1051">
        <v>1085058.72</v>
      </c>
      <c r="Q25" s="1050">
        <v>48462995.009999998</v>
      </c>
      <c r="R25" s="1050">
        <v>48462995.009999998</v>
      </c>
      <c r="S25" s="1050">
        <v>49548053.729999997</v>
      </c>
      <c r="T25" s="1277"/>
      <c r="U25" s="1277"/>
    </row>
    <row r="26" spans="1:21" ht="19.5" customHeight="1" x14ac:dyDescent="0.2">
      <c r="A26" s="1046" t="s">
        <v>1406</v>
      </c>
      <c r="B26" s="1045" t="s">
        <v>2086</v>
      </c>
      <c r="C26" s="1046" t="s">
        <v>1407</v>
      </c>
      <c r="D26" s="1045" t="s">
        <v>1408</v>
      </c>
      <c r="E26" s="1046" t="s">
        <v>1409</v>
      </c>
      <c r="F26" s="1047" t="s">
        <v>1410</v>
      </c>
      <c r="G26" s="1048">
        <v>4</v>
      </c>
      <c r="H26" s="1278" t="s">
        <v>1411</v>
      </c>
      <c r="I26" s="1049">
        <f t="shared" si="5"/>
        <v>85304257.763157904</v>
      </c>
      <c r="J26" s="1049">
        <f t="shared" si="5"/>
        <v>67225428.552631587</v>
      </c>
      <c r="K26" s="1049">
        <f t="shared" si="5"/>
        <v>48570876.315789476</v>
      </c>
      <c r="L26" s="1285">
        <v>648312359</v>
      </c>
      <c r="M26" s="1285">
        <v>510913257</v>
      </c>
      <c r="N26" s="1285">
        <v>369138660</v>
      </c>
      <c r="O26" s="1050"/>
      <c r="P26" s="1050">
        <v>6856279.2399999993</v>
      </c>
      <c r="Q26" s="1050">
        <v>124394272.29000001</v>
      </c>
      <c r="R26" s="1050">
        <v>124394272.29000001</v>
      </c>
      <c r="S26" s="1050">
        <v>131250551.53</v>
      </c>
      <c r="T26" s="1277"/>
      <c r="U26" s="1277"/>
    </row>
    <row r="27" spans="1:21" ht="12.75" customHeight="1" x14ac:dyDescent="0.2">
      <c r="A27" s="1046"/>
      <c r="B27" s="1046" t="s">
        <v>1412</v>
      </c>
      <c r="C27" s="1045" t="s">
        <v>1413</v>
      </c>
      <c r="D27" s="1046"/>
      <c r="E27" s="1046" t="s">
        <v>1414</v>
      </c>
      <c r="F27" s="1047" t="s">
        <v>1415</v>
      </c>
      <c r="G27" s="1048">
        <v>5</v>
      </c>
      <c r="H27" s="1278" t="s">
        <v>1416</v>
      </c>
      <c r="I27" s="1049">
        <f t="shared" si="5"/>
        <v>47128741.026315793</v>
      </c>
      <c r="J27" s="1049">
        <f t="shared" si="5"/>
        <v>37702993.026315793</v>
      </c>
      <c r="K27" s="1049">
        <f t="shared" si="5"/>
        <v>27903796.623684213</v>
      </c>
      <c r="L27" s="1285">
        <v>358178431.80000001</v>
      </c>
      <c r="M27" s="1285">
        <v>286542747</v>
      </c>
      <c r="N27" s="1285">
        <v>212068854.34</v>
      </c>
      <c r="O27" s="1050">
        <v>345738.35</v>
      </c>
      <c r="P27" s="1050">
        <v>3910067.22</v>
      </c>
      <c r="Q27" s="832">
        <v>92319505.670000002</v>
      </c>
      <c r="R27" s="832">
        <v>92319505.670000002</v>
      </c>
      <c r="S27" s="832">
        <v>96229572.890000001</v>
      </c>
      <c r="T27" s="1277"/>
      <c r="U27" s="1277"/>
    </row>
    <row r="28" spans="1:21" ht="12.75" customHeight="1" x14ac:dyDescent="0.2">
      <c r="A28" s="1046"/>
      <c r="B28" s="1046" t="s">
        <v>1412</v>
      </c>
      <c r="C28" s="1045" t="s">
        <v>1413</v>
      </c>
      <c r="D28" s="1046"/>
      <c r="E28" s="1046" t="s">
        <v>1414</v>
      </c>
      <c r="F28" s="1047" t="s">
        <v>1415</v>
      </c>
      <c r="G28" s="1048">
        <v>6</v>
      </c>
      <c r="H28" s="1278" t="s">
        <v>1417</v>
      </c>
      <c r="I28" s="1049">
        <f t="shared" si="5"/>
        <v>33006535.552631579</v>
      </c>
      <c r="J28" s="1049">
        <f t="shared" si="5"/>
        <v>26405228.552631579</v>
      </c>
      <c r="K28" s="1049">
        <f t="shared" si="5"/>
        <v>19299977.894736841</v>
      </c>
      <c r="L28" s="1285">
        <v>250849670.19999999</v>
      </c>
      <c r="M28" s="1285">
        <v>200679737</v>
      </c>
      <c r="N28" s="1285">
        <v>146679832</v>
      </c>
      <c r="O28" s="1050">
        <v>883139.02</v>
      </c>
      <c r="P28" s="1051">
        <v>4439978.1400000006</v>
      </c>
      <c r="Q28" s="1050">
        <v>40119995.210000001</v>
      </c>
      <c r="R28" s="1050">
        <v>40119995.210000001</v>
      </c>
      <c r="S28" s="1050">
        <v>44559973.350000001</v>
      </c>
      <c r="T28" s="1277"/>
      <c r="U28" s="1277"/>
    </row>
    <row r="29" spans="1:21" ht="12.75" customHeight="1" x14ac:dyDescent="0.2">
      <c r="A29" s="1046"/>
      <c r="B29" s="1046" t="s">
        <v>1418</v>
      </c>
      <c r="C29" s="1045" t="s">
        <v>1419</v>
      </c>
      <c r="D29" s="1046"/>
      <c r="E29" s="1046" t="s">
        <v>1420</v>
      </c>
      <c r="F29" s="1047" t="s">
        <v>1415</v>
      </c>
      <c r="G29" s="1048">
        <v>7</v>
      </c>
      <c r="H29" s="1278" t="s">
        <v>1421</v>
      </c>
      <c r="I29" s="1049">
        <f t="shared" si="5"/>
        <v>51668470.526315793</v>
      </c>
      <c r="J29" s="1049">
        <f t="shared" si="5"/>
        <v>41334776.447368421</v>
      </c>
      <c r="K29" s="1049">
        <f t="shared" si="5"/>
        <v>29189135.921052635</v>
      </c>
      <c r="L29" s="1285">
        <v>392680376</v>
      </c>
      <c r="M29" s="1285">
        <v>314144301</v>
      </c>
      <c r="N29" s="1285">
        <v>221837433</v>
      </c>
      <c r="O29" s="1050">
        <v>54843546.329999998</v>
      </c>
      <c r="P29" s="1051">
        <v>199959.97</v>
      </c>
      <c r="Q29" s="1050">
        <v>167010407.34</v>
      </c>
      <c r="R29" s="1051">
        <v>167010407.34</v>
      </c>
      <c r="S29" s="1050">
        <v>167210367.31</v>
      </c>
      <c r="T29" s="1277"/>
      <c r="U29" s="1277"/>
    </row>
    <row r="30" spans="1:21" ht="12.75" customHeight="1" x14ac:dyDescent="0.2">
      <c r="A30" s="1045"/>
      <c r="B30" s="1045" t="s">
        <v>1422</v>
      </c>
      <c r="C30" s="1045" t="s">
        <v>1423</v>
      </c>
      <c r="D30" s="1045"/>
      <c r="E30" s="1046" t="s">
        <v>1424</v>
      </c>
      <c r="F30" s="1047" t="s">
        <v>1415</v>
      </c>
      <c r="G30" s="1052">
        <v>8</v>
      </c>
      <c r="H30" s="1034" t="s">
        <v>1425</v>
      </c>
      <c r="I30" s="1049">
        <f t="shared" si="5"/>
        <v>12277629.47368421</v>
      </c>
      <c r="J30" s="1049">
        <f t="shared" si="5"/>
        <v>9822103.5526315793</v>
      </c>
      <c r="K30" s="1049">
        <f t="shared" si="5"/>
        <v>7345919.2105263164</v>
      </c>
      <c r="L30" s="1285">
        <v>93309984</v>
      </c>
      <c r="M30" s="1285">
        <v>74647987</v>
      </c>
      <c r="N30" s="1285">
        <v>55828986</v>
      </c>
      <c r="O30" s="1050">
        <v>13418196.18</v>
      </c>
      <c r="P30" s="1051">
        <v>1802023.03</v>
      </c>
      <c r="Q30" s="1050">
        <v>48177817.25</v>
      </c>
      <c r="R30" s="1050">
        <v>48177817.25</v>
      </c>
      <c r="S30" s="1050">
        <v>49979840.280000001</v>
      </c>
      <c r="T30" s="1277"/>
      <c r="U30" s="1277"/>
    </row>
    <row r="31" spans="1:21" ht="12.75" customHeight="1" x14ac:dyDescent="0.2">
      <c r="A31" s="1045"/>
      <c r="B31" s="1045" t="s">
        <v>1426</v>
      </c>
      <c r="C31" s="1045" t="s">
        <v>1427</v>
      </c>
      <c r="D31" s="1045"/>
      <c r="E31" s="1046" t="s">
        <v>1424</v>
      </c>
      <c r="F31" s="1047" t="s">
        <v>1415</v>
      </c>
      <c r="G31" s="1048">
        <v>9</v>
      </c>
      <c r="H31" s="1274" t="s">
        <v>1428</v>
      </c>
      <c r="I31" s="1049">
        <f t="shared" si="5"/>
        <v>20642755.269736845</v>
      </c>
      <c r="J31" s="1049">
        <f t="shared" si="5"/>
        <v>16514204.215789475</v>
      </c>
      <c r="K31" s="1049">
        <f t="shared" si="5"/>
        <v>11605862.468421053</v>
      </c>
      <c r="L31" s="1285">
        <v>156884940.05000001</v>
      </c>
      <c r="M31" s="1285">
        <v>125507952.04000001</v>
      </c>
      <c r="N31" s="1285">
        <v>88204554.760000005</v>
      </c>
      <c r="O31" s="1050">
        <v>3453033.82</v>
      </c>
      <c r="P31" s="1051">
        <v>523617.27</v>
      </c>
      <c r="Q31" s="832">
        <v>48835577.509999998</v>
      </c>
      <c r="R31" s="832">
        <v>48835577.509999998</v>
      </c>
      <c r="S31" s="832">
        <v>49359194.780000001</v>
      </c>
      <c r="T31" s="1277"/>
      <c r="U31" s="1277"/>
    </row>
    <row r="32" spans="1:21" ht="12.75" customHeight="1" x14ac:dyDescent="0.2">
      <c r="A32" s="1045"/>
      <c r="B32" s="1045" t="s">
        <v>1426</v>
      </c>
      <c r="C32" s="1045" t="s">
        <v>1429</v>
      </c>
      <c r="D32" s="1045"/>
      <c r="E32" s="1046" t="s">
        <v>1420</v>
      </c>
      <c r="F32" s="1047" t="s">
        <v>1415</v>
      </c>
      <c r="G32" s="1053">
        <v>10</v>
      </c>
      <c r="H32" s="1140" t="s">
        <v>1430</v>
      </c>
      <c r="I32" s="1049">
        <f t="shared" si="5"/>
        <v>9344964.7960526329</v>
      </c>
      <c r="J32" s="1049">
        <f t="shared" si="5"/>
        <v>7475971.8368421057</v>
      </c>
      <c r="K32" s="1049">
        <f t="shared" si="5"/>
        <v>5316188.2552631581</v>
      </c>
      <c r="L32" s="1285">
        <v>71021732.450000003</v>
      </c>
      <c r="M32" s="1285">
        <v>56817385.960000001</v>
      </c>
      <c r="N32" s="1285">
        <v>40403030.740000002</v>
      </c>
      <c r="O32" s="1050">
        <v>11222064.800000001</v>
      </c>
      <c r="P32" s="1051">
        <v>54863.3</v>
      </c>
      <c r="Q32" s="1050">
        <v>33696561.75</v>
      </c>
      <c r="R32" s="1054">
        <v>33696561.75</v>
      </c>
      <c r="S32" s="1050">
        <v>33751425.049999997</v>
      </c>
      <c r="T32" s="1277"/>
      <c r="U32" s="1277"/>
    </row>
    <row r="33" spans="1:21" ht="12.75" customHeight="1" x14ac:dyDescent="0.2">
      <c r="A33" s="1045"/>
      <c r="B33" s="1045" t="s">
        <v>1431</v>
      </c>
      <c r="C33" s="1045" t="s">
        <v>1432</v>
      </c>
      <c r="D33" s="1045"/>
      <c r="E33" s="1046" t="s">
        <v>1433</v>
      </c>
      <c r="F33" s="1047" t="s">
        <v>1415</v>
      </c>
      <c r="G33" s="1053">
        <v>11</v>
      </c>
      <c r="H33" s="1140" t="s">
        <v>1434</v>
      </c>
      <c r="I33" s="1049">
        <f t="shared" si="5"/>
        <v>13854273.913157895</v>
      </c>
      <c r="J33" s="1049">
        <f t="shared" si="5"/>
        <v>11083419.12763158</v>
      </c>
      <c r="K33" s="1049">
        <f t="shared" si="5"/>
        <v>8184882.9144736845</v>
      </c>
      <c r="L33" s="1285">
        <v>105292481.73999999</v>
      </c>
      <c r="M33" s="1285">
        <v>84233985.370000005</v>
      </c>
      <c r="N33" s="1285">
        <v>62205110.149999999</v>
      </c>
      <c r="O33" s="1050">
        <v>15798051.789999999</v>
      </c>
      <c r="P33" s="1051">
        <v>7760467.0099999998</v>
      </c>
      <c r="Q33" s="1050">
        <v>45859280.789999999</v>
      </c>
      <c r="R33" s="1054">
        <v>45859280.789999999</v>
      </c>
      <c r="S33" s="1050">
        <v>53619747.799999997</v>
      </c>
      <c r="T33" s="1277"/>
      <c r="U33" s="1277"/>
    </row>
    <row r="34" spans="1:21" ht="13.5" customHeight="1" x14ac:dyDescent="0.2">
      <c r="A34" s="1046" t="s">
        <v>1435</v>
      </c>
      <c r="B34" s="1045" t="s">
        <v>2087</v>
      </c>
      <c r="C34" s="1046" t="s">
        <v>1436</v>
      </c>
      <c r="D34" s="1046" t="s">
        <v>1410</v>
      </c>
      <c r="E34" s="1046" t="s">
        <v>1437</v>
      </c>
      <c r="F34" s="1047" t="s">
        <v>1438</v>
      </c>
      <c r="G34" s="1048">
        <v>12</v>
      </c>
      <c r="H34" s="1198" t="s">
        <v>1439</v>
      </c>
      <c r="I34" s="69">
        <f t="shared" si="5"/>
        <v>8171829.4407894742</v>
      </c>
      <c r="J34" s="69">
        <f t="shared" si="5"/>
        <v>6537463.5526315793</v>
      </c>
      <c r="K34" s="69">
        <f t="shared" si="5"/>
        <v>4660876.4473684216</v>
      </c>
      <c r="L34" s="1285">
        <v>62105903.75</v>
      </c>
      <c r="M34" s="1285">
        <v>49684723</v>
      </c>
      <c r="N34" s="1285">
        <v>35422661</v>
      </c>
      <c r="O34" s="1050"/>
      <c r="P34" s="1051"/>
      <c r="Q34" s="1050">
        <v>15545028.130000001</v>
      </c>
      <c r="R34" s="1050">
        <v>15545028.130000001</v>
      </c>
      <c r="S34" s="1050">
        <v>15545028.130000001</v>
      </c>
      <c r="T34" s="1055"/>
      <c r="U34" s="1277"/>
    </row>
    <row r="35" spans="1:21" ht="12.75" customHeight="1" x14ac:dyDescent="0.2">
      <c r="A35" s="1045" t="s">
        <v>1440</v>
      </c>
      <c r="B35" s="1045" t="s">
        <v>1441</v>
      </c>
      <c r="C35" s="1046" t="s">
        <v>1442</v>
      </c>
      <c r="D35" s="1046" t="s">
        <v>1443</v>
      </c>
      <c r="E35" s="1046" t="s">
        <v>1444</v>
      </c>
      <c r="F35" s="1047" t="s">
        <v>1438</v>
      </c>
      <c r="G35" s="1048">
        <v>13</v>
      </c>
      <c r="H35" s="1199" t="s">
        <v>1445</v>
      </c>
      <c r="I35" s="69">
        <f t="shared" si="5"/>
        <v>28656986.184210528</v>
      </c>
      <c r="J35" s="69">
        <f t="shared" si="5"/>
        <v>22773672.368421055</v>
      </c>
      <c r="K35" s="69">
        <f t="shared" si="5"/>
        <v>15992384.868421054</v>
      </c>
      <c r="L35" s="1285">
        <v>217793095</v>
      </c>
      <c r="M35" s="1285">
        <v>173079910</v>
      </c>
      <c r="N35" s="1285">
        <v>121542125</v>
      </c>
      <c r="O35" s="1050"/>
      <c r="P35" s="1051"/>
      <c r="Q35" s="1050">
        <v>48151189.880000003</v>
      </c>
      <c r="R35" s="1050">
        <v>48151189.880000003</v>
      </c>
      <c r="S35" s="1050">
        <v>48151189.880000003</v>
      </c>
      <c r="T35" s="1277"/>
      <c r="U35" s="1277"/>
    </row>
    <row r="36" spans="1:21" ht="12.75" customHeight="1" x14ac:dyDescent="0.2">
      <c r="A36" s="1046" t="s">
        <v>1446</v>
      </c>
      <c r="B36" s="1045" t="s">
        <v>1447</v>
      </c>
      <c r="C36" s="1046" t="s">
        <v>1448</v>
      </c>
      <c r="D36" s="1046" t="s">
        <v>1245</v>
      </c>
      <c r="E36" s="1046" t="s">
        <v>1449</v>
      </c>
      <c r="F36" s="1047" t="s">
        <v>1438</v>
      </c>
      <c r="G36" s="1048">
        <v>14</v>
      </c>
      <c r="H36" s="1199" t="s">
        <v>1450</v>
      </c>
      <c r="I36" s="69">
        <f t="shared" si="5"/>
        <v>31098791.118421055</v>
      </c>
      <c r="J36" s="69">
        <f t="shared" si="5"/>
        <v>24879032.894736845</v>
      </c>
      <c r="K36" s="69">
        <f t="shared" si="5"/>
        <v>17849001.896052632</v>
      </c>
      <c r="L36" s="1280">
        <v>236350812.5</v>
      </c>
      <c r="M36" s="1056">
        <v>189080650</v>
      </c>
      <c r="N36" s="1056">
        <v>135652414.41</v>
      </c>
      <c r="O36" s="1050"/>
      <c r="P36" s="1051"/>
      <c r="Q36" s="1050">
        <v>44794964.479999997</v>
      </c>
      <c r="R36" s="1050">
        <v>44794964.479999997</v>
      </c>
      <c r="S36" s="1050">
        <v>44794964.479999997</v>
      </c>
      <c r="T36" s="1277"/>
      <c r="U36" s="1277"/>
    </row>
    <row r="37" spans="1:21" ht="12.75" customHeight="1" x14ac:dyDescent="0.2">
      <c r="A37" s="1046" t="s">
        <v>1446</v>
      </c>
      <c r="B37" s="1045" t="s">
        <v>1451</v>
      </c>
      <c r="C37" s="1046" t="s">
        <v>1448</v>
      </c>
      <c r="D37" s="1046" t="s">
        <v>1245</v>
      </c>
      <c r="E37" s="1046" t="s">
        <v>1449</v>
      </c>
      <c r="F37" s="1047" t="s">
        <v>1438</v>
      </c>
      <c r="G37" s="1048">
        <v>15</v>
      </c>
      <c r="H37" s="1199" t="s">
        <v>1452</v>
      </c>
      <c r="I37" s="69">
        <f t="shared" si="5"/>
        <v>29897583.881578948</v>
      </c>
      <c r="J37" s="69">
        <f t="shared" si="5"/>
        <v>23918067.105263159</v>
      </c>
      <c r="K37" s="69">
        <f t="shared" si="5"/>
        <v>16943939.197368424</v>
      </c>
      <c r="L37" s="1280">
        <v>227221637.5</v>
      </c>
      <c r="M37" s="1056">
        <v>181777310</v>
      </c>
      <c r="N37" s="1056">
        <v>128773937.90000001</v>
      </c>
      <c r="O37" s="1050"/>
      <c r="P37" s="1051">
        <v>12591.21</v>
      </c>
      <c r="Q37" s="1050">
        <v>36472596.549999997</v>
      </c>
      <c r="R37" s="1050">
        <v>36472596.549999997</v>
      </c>
      <c r="S37" s="1050">
        <v>36485187.759999998</v>
      </c>
      <c r="T37" s="1277"/>
      <c r="U37" s="1277"/>
    </row>
    <row r="38" spans="1:21" ht="15" customHeight="1" x14ac:dyDescent="0.2">
      <c r="A38" s="1046" t="s">
        <v>1453</v>
      </c>
      <c r="B38" s="1045" t="s">
        <v>1454</v>
      </c>
      <c r="C38" s="1046" t="s">
        <v>1455</v>
      </c>
      <c r="D38" s="1045" t="s">
        <v>1456</v>
      </c>
      <c r="E38" s="1046" t="s">
        <v>1457</v>
      </c>
      <c r="F38" s="1047" t="s">
        <v>1438</v>
      </c>
      <c r="G38" s="1048">
        <v>16</v>
      </c>
      <c r="H38" s="1080" t="s">
        <v>1458</v>
      </c>
      <c r="I38" s="69">
        <f t="shared" si="5"/>
        <v>112609236.97368422</v>
      </c>
      <c r="J38" s="69">
        <f t="shared" si="5"/>
        <v>90087389.605263159</v>
      </c>
      <c r="K38" s="69">
        <f t="shared" si="5"/>
        <v>64307750.394736849</v>
      </c>
      <c r="L38" s="1280">
        <v>855830201</v>
      </c>
      <c r="M38" s="1056">
        <v>684664161</v>
      </c>
      <c r="N38" s="1056">
        <v>488738903</v>
      </c>
      <c r="O38" s="1050"/>
      <c r="P38" s="1051">
        <v>2908608.7</v>
      </c>
      <c r="Q38" s="1050">
        <v>191430177.99000001</v>
      </c>
      <c r="R38" s="1050">
        <v>191430177.99000001</v>
      </c>
      <c r="S38" s="1050">
        <v>194338786.69</v>
      </c>
      <c r="T38" s="1277"/>
      <c r="U38" s="1277"/>
    </row>
    <row r="39" spans="1:21" ht="12.75" customHeight="1" x14ac:dyDescent="0.2">
      <c r="A39" s="1046" t="s">
        <v>1459</v>
      </c>
      <c r="B39" s="1045" t="s">
        <v>2088</v>
      </c>
      <c r="C39" s="1046" t="s">
        <v>1460</v>
      </c>
      <c r="D39" s="1046" t="s">
        <v>1461</v>
      </c>
      <c r="E39" s="1046" t="s">
        <v>1462</v>
      </c>
      <c r="F39" s="1047" t="s">
        <v>1438</v>
      </c>
      <c r="G39" s="1048">
        <v>17</v>
      </c>
      <c r="H39" s="1080" t="s">
        <v>1463</v>
      </c>
      <c r="I39" s="1057">
        <f t="shared" si="5"/>
        <v>22271992.014802631</v>
      </c>
      <c r="J39" s="1057">
        <f t="shared" si="5"/>
        <v>17817593.611842103</v>
      </c>
      <c r="K39" s="1057">
        <f t="shared" si="5"/>
        <v>12873246.52631579</v>
      </c>
      <c r="L39" s="1280">
        <v>169267139.3125</v>
      </c>
      <c r="M39" s="1056">
        <v>135413711.44999999</v>
      </c>
      <c r="N39" s="1056">
        <v>97836673.599999994</v>
      </c>
      <c r="O39" s="1050"/>
      <c r="P39" s="1051"/>
      <c r="Q39" s="1050">
        <v>67779920.650000006</v>
      </c>
      <c r="R39" s="1050">
        <v>67779920.650000006</v>
      </c>
      <c r="S39" s="1050">
        <v>67779920.650000006</v>
      </c>
      <c r="T39" s="1277"/>
      <c r="U39" s="1277"/>
    </row>
    <row r="40" spans="1:21" ht="12.75" customHeight="1" x14ac:dyDescent="0.2">
      <c r="A40" s="1046" t="s">
        <v>1464</v>
      </c>
      <c r="B40" s="1045" t="s">
        <v>1465</v>
      </c>
      <c r="C40" s="1046" t="s">
        <v>1466</v>
      </c>
      <c r="D40" s="1046" t="s">
        <v>1449</v>
      </c>
      <c r="E40" s="1046" t="s">
        <v>1467</v>
      </c>
      <c r="F40" s="1047" t="s">
        <v>1468</v>
      </c>
      <c r="G40" s="1048">
        <v>18</v>
      </c>
      <c r="H40" s="1199" t="s">
        <v>1469</v>
      </c>
      <c r="I40" s="1057">
        <f t="shared" si="5"/>
        <v>25254343.486842107</v>
      </c>
      <c r="J40" s="1057">
        <f t="shared" si="5"/>
        <v>20203474.789473686</v>
      </c>
      <c r="K40" s="1057">
        <f t="shared" si="5"/>
        <v>14524884.130263159</v>
      </c>
      <c r="L40" s="1283">
        <v>191933010.5</v>
      </c>
      <c r="M40" s="1058">
        <v>153546408.40000001</v>
      </c>
      <c r="N40" s="1058">
        <v>110389119.39</v>
      </c>
      <c r="O40" s="1050"/>
      <c r="P40" s="1051"/>
      <c r="Q40" s="832">
        <v>46066341.079999991</v>
      </c>
      <c r="R40" s="832">
        <v>46066341.079999991</v>
      </c>
      <c r="S40" s="832">
        <v>46066341.079999991</v>
      </c>
      <c r="T40" s="1277"/>
      <c r="U40" s="1277"/>
    </row>
    <row r="41" spans="1:21" ht="12.75" customHeight="1" x14ac:dyDescent="0.2">
      <c r="A41" s="1046" t="s">
        <v>1470</v>
      </c>
      <c r="B41" s="1045" t="s">
        <v>1471</v>
      </c>
      <c r="C41" s="1046" t="s">
        <v>1472</v>
      </c>
      <c r="D41" s="1046" t="s">
        <v>1473</v>
      </c>
      <c r="E41" s="1046" t="s">
        <v>1467</v>
      </c>
      <c r="F41" s="1047" t="s">
        <v>1468</v>
      </c>
      <c r="G41" s="1048">
        <v>19</v>
      </c>
      <c r="H41" s="1080" t="s">
        <v>1474</v>
      </c>
      <c r="I41" s="1057">
        <f t="shared" si="5"/>
        <v>35172964.976315789</v>
      </c>
      <c r="J41" s="1057">
        <f t="shared" si="5"/>
        <v>28138371.980263162</v>
      </c>
      <c r="K41" s="1057">
        <f t="shared" si="5"/>
        <v>20034389.139473688</v>
      </c>
      <c r="L41" s="1280">
        <v>267314533.81999999</v>
      </c>
      <c r="M41" s="1056">
        <v>213851627.05000001</v>
      </c>
      <c r="N41" s="1056">
        <v>152261357.46000001</v>
      </c>
      <c r="O41" s="1050"/>
      <c r="P41" s="1051"/>
      <c r="Q41" s="1050">
        <v>73340990.370000005</v>
      </c>
      <c r="R41" s="1050">
        <v>73340990.370000005</v>
      </c>
      <c r="S41" s="1050">
        <v>73340990.370000005</v>
      </c>
      <c r="T41" s="1277"/>
      <c r="U41" s="1277"/>
    </row>
    <row r="42" spans="1:21" ht="12.75" customHeight="1" x14ac:dyDescent="0.2">
      <c r="A42" s="1046" t="s">
        <v>1470</v>
      </c>
      <c r="B42" s="1045" t="s">
        <v>1475</v>
      </c>
      <c r="C42" s="1046" t="s">
        <v>1472</v>
      </c>
      <c r="D42" s="1046" t="s">
        <v>1476</v>
      </c>
      <c r="E42" s="1046" t="s">
        <v>1467</v>
      </c>
      <c r="F42" s="1047" t="s">
        <v>1468</v>
      </c>
      <c r="G42" s="1048">
        <v>20</v>
      </c>
      <c r="H42" s="1199" t="s">
        <v>1477</v>
      </c>
      <c r="I42" s="1057">
        <f t="shared" si="5"/>
        <v>28615497.517105263</v>
      </c>
      <c r="J42" s="1057">
        <f t="shared" si="5"/>
        <v>22602261.434210528</v>
      </c>
      <c r="K42" s="1057">
        <f t="shared" si="5"/>
        <v>16374321.306578949</v>
      </c>
      <c r="L42" s="1280">
        <v>217477781.13</v>
      </c>
      <c r="M42" s="1056">
        <v>171777186.90000001</v>
      </c>
      <c r="N42" s="1056">
        <v>124444841.93000001</v>
      </c>
      <c r="O42" s="1050"/>
      <c r="P42" s="1051"/>
      <c r="Q42" s="1050">
        <v>39714128.590000004</v>
      </c>
      <c r="R42" s="1050">
        <v>39714128.590000004</v>
      </c>
      <c r="S42" s="1050">
        <v>39714128.590000004</v>
      </c>
      <c r="T42" s="1277"/>
      <c r="U42" s="1277"/>
    </row>
    <row r="43" spans="1:21" ht="12.75" customHeight="1" x14ac:dyDescent="0.2">
      <c r="A43" s="1046" t="s">
        <v>1470</v>
      </c>
      <c r="B43" s="1045" t="s">
        <v>1478</v>
      </c>
      <c r="C43" s="1046" t="s">
        <v>1479</v>
      </c>
      <c r="D43" s="1046" t="s">
        <v>1479</v>
      </c>
      <c r="E43" s="1046" t="s">
        <v>1467</v>
      </c>
      <c r="F43" s="1047" t="s">
        <v>1468</v>
      </c>
      <c r="G43" s="1048">
        <v>21</v>
      </c>
      <c r="H43" s="1199" t="s">
        <v>1480</v>
      </c>
      <c r="I43" s="1057">
        <f t="shared" si="5"/>
        <v>23260985.543421052</v>
      </c>
      <c r="J43" s="1057">
        <f t="shared" si="5"/>
        <v>18608788.434210528</v>
      </c>
      <c r="K43" s="1057">
        <f t="shared" si="5"/>
        <v>13039355.657894738</v>
      </c>
      <c r="L43" s="1280">
        <v>176783490.13</v>
      </c>
      <c r="M43" s="1056">
        <v>141426792.09999999</v>
      </c>
      <c r="N43" s="1056">
        <v>99099103</v>
      </c>
      <c r="O43" s="1050"/>
      <c r="P43" s="1051"/>
      <c r="Q43" s="1050">
        <v>22392163.690000001</v>
      </c>
      <c r="R43" s="1050">
        <v>22392163.690000001</v>
      </c>
      <c r="S43" s="1050">
        <v>22392163.690000001</v>
      </c>
      <c r="T43" s="1277"/>
      <c r="U43" s="1277"/>
    </row>
    <row r="44" spans="1:21" ht="12.75" customHeight="1" x14ac:dyDescent="0.2">
      <c r="A44" s="1046" t="s">
        <v>1470</v>
      </c>
      <c r="B44" s="1045" t="s">
        <v>1481</v>
      </c>
      <c r="C44" s="1046" t="s">
        <v>1466</v>
      </c>
      <c r="D44" s="1046" t="s">
        <v>1482</v>
      </c>
      <c r="E44" s="1046" t="s">
        <v>1467</v>
      </c>
      <c r="F44" s="1047" t="s">
        <v>1468</v>
      </c>
      <c r="G44" s="1048">
        <v>22</v>
      </c>
      <c r="H44" s="1199" t="s">
        <v>1483</v>
      </c>
      <c r="I44" s="1057">
        <f t="shared" si="5"/>
        <v>63250156.597368419</v>
      </c>
      <c r="J44" s="1057">
        <f t="shared" si="5"/>
        <v>50600125.277631581</v>
      </c>
      <c r="K44" s="1057">
        <f t="shared" si="5"/>
        <v>35807109.868421055</v>
      </c>
      <c r="L44" s="1283">
        <v>480701190.13999999</v>
      </c>
      <c r="M44" s="1058">
        <v>384560952.11000001</v>
      </c>
      <c r="N44" s="1058">
        <v>272134035</v>
      </c>
      <c r="O44" s="1050"/>
      <c r="P44" s="1051"/>
      <c r="Q44" s="832">
        <v>205646607.83999997</v>
      </c>
      <c r="R44" s="832">
        <v>205646607.83999997</v>
      </c>
      <c r="S44" s="832">
        <v>205646607.83999997</v>
      </c>
      <c r="T44" s="1277"/>
      <c r="U44" s="1277"/>
    </row>
    <row r="45" spans="1:21" ht="12.75" customHeight="1" x14ac:dyDescent="0.2">
      <c r="A45" s="1046" t="s">
        <v>1484</v>
      </c>
      <c r="B45" s="1045" t="s">
        <v>1485</v>
      </c>
      <c r="C45" s="1046" t="s">
        <v>1466</v>
      </c>
      <c r="D45" s="1046" t="s">
        <v>1472</v>
      </c>
      <c r="E45" s="1046" t="s">
        <v>1467</v>
      </c>
      <c r="F45" s="1047" t="s">
        <v>1468</v>
      </c>
      <c r="G45" s="1048">
        <v>23</v>
      </c>
      <c r="H45" s="1199" t="s">
        <v>1486</v>
      </c>
      <c r="I45" s="1057">
        <f t="shared" si="5"/>
        <v>50795228.28947369</v>
      </c>
      <c r="J45" s="1057">
        <f t="shared" si="5"/>
        <v>35734074.736842103</v>
      </c>
      <c r="K45" s="1057">
        <f t="shared" si="5"/>
        <v>24942251.842105266</v>
      </c>
      <c r="L45" s="1280">
        <v>386043735</v>
      </c>
      <c r="M45" s="1056">
        <v>271578968</v>
      </c>
      <c r="N45" s="1056">
        <v>189561114</v>
      </c>
      <c r="O45" s="1050"/>
      <c r="P45" s="1051"/>
      <c r="Q45" s="1050">
        <v>52198906.479999997</v>
      </c>
      <c r="R45" s="1050">
        <v>52198906.479999997</v>
      </c>
      <c r="S45" s="1050">
        <v>52198906.479999997</v>
      </c>
      <c r="T45" s="1277"/>
      <c r="U45" s="1277"/>
    </row>
    <row r="46" spans="1:21" ht="12.75" customHeight="1" x14ac:dyDescent="0.2">
      <c r="A46" s="1045" t="s">
        <v>1422</v>
      </c>
      <c r="B46" s="1045" t="s">
        <v>1487</v>
      </c>
      <c r="C46" s="1045" t="s">
        <v>1488</v>
      </c>
      <c r="D46" s="1045" t="s">
        <v>1489</v>
      </c>
      <c r="E46" s="1046" t="s">
        <v>1467</v>
      </c>
      <c r="F46" s="1047" t="s">
        <v>1490</v>
      </c>
      <c r="G46" s="1048">
        <v>24</v>
      </c>
      <c r="H46" s="1199" t="s">
        <v>1491</v>
      </c>
      <c r="I46" s="1057">
        <f t="shared" si="5"/>
        <v>52265802.368421055</v>
      </c>
      <c r="J46" s="1057">
        <f t="shared" si="5"/>
        <v>41812641.894736841</v>
      </c>
      <c r="K46" s="1057">
        <f t="shared" si="5"/>
        <v>29601887.018421054</v>
      </c>
      <c r="L46" s="1280">
        <v>397220098</v>
      </c>
      <c r="M46" s="1280">
        <v>317776078.39999998</v>
      </c>
      <c r="N46" s="1280">
        <v>224974341.34</v>
      </c>
      <c r="O46" s="1050"/>
      <c r="P46" s="1051"/>
      <c r="Q46" s="1050">
        <v>65631304.979999997</v>
      </c>
      <c r="R46" s="1050">
        <v>65631304.979999997</v>
      </c>
      <c r="S46" s="1050">
        <v>65631304.979999997</v>
      </c>
      <c r="T46" s="1277"/>
      <c r="U46" s="1277"/>
    </row>
    <row r="47" spans="1:21" ht="12.75" customHeight="1" x14ac:dyDescent="0.2">
      <c r="A47" s="1283" t="s">
        <v>1492</v>
      </c>
      <c r="B47" s="1271" t="s">
        <v>1493</v>
      </c>
      <c r="C47" s="1271" t="s">
        <v>1494</v>
      </c>
      <c r="D47" s="1271" t="s">
        <v>1495</v>
      </c>
      <c r="E47" s="1271" t="s">
        <v>1496</v>
      </c>
      <c r="F47" s="1047" t="s">
        <v>1497</v>
      </c>
      <c r="G47" s="1048">
        <v>25</v>
      </c>
      <c r="H47" s="1199" t="s">
        <v>1498</v>
      </c>
      <c r="I47" s="1057">
        <f t="shared" si="5"/>
        <v>65606927.763157897</v>
      </c>
      <c r="J47" s="1057">
        <f t="shared" si="5"/>
        <v>52485542.236842111</v>
      </c>
      <c r="K47" s="1057">
        <f t="shared" si="5"/>
        <v>35366863.552631579</v>
      </c>
      <c r="L47" s="1280">
        <v>498612651</v>
      </c>
      <c r="M47" s="1056">
        <v>398890121</v>
      </c>
      <c r="N47" s="1056">
        <v>268788163</v>
      </c>
      <c r="O47" s="1050"/>
      <c r="P47" s="1051"/>
      <c r="Q47" s="1050">
        <v>66817995.759999998</v>
      </c>
      <c r="R47" s="1050">
        <v>66817995.759999998</v>
      </c>
      <c r="S47" s="1050">
        <v>66817995.759999998</v>
      </c>
      <c r="T47" s="1277"/>
      <c r="U47" s="1277"/>
    </row>
    <row r="48" spans="1:21" ht="15.75" customHeight="1" x14ac:dyDescent="0.2">
      <c r="A48" s="1271" t="s">
        <v>1464</v>
      </c>
      <c r="B48" s="1271" t="s">
        <v>1499</v>
      </c>
      <c r="C48" s="1271" t="s">
        <v>1500</v>
      </c>
      <c r="D48" s="1271" t="s">
        <v>1501</v>
      </c>
      <c r="E48" s="1059" t="s">
        <v>1502</v>
      </c>
      <c r="F48" s="1047" t="s">
        <v>1503</v>
      </c>
      <c r="G48" s="1048">
        <v>26</v>
      </c>
      <c r="H48" s="1199" t="s">
        <v>1504</v>
      </c>
      <c r="I48" s="1060">
        <f t="shared" si="5"/>
        <v>65300179.276315793</v>
      </c>
      <c r="J48" s="1060">
        <f t="shared" si="5"/>
        <v>52240143.421052635</v>
      </c>
      <c r="K48" s="1060">
        <f t="shared" si="5"/>
        <v>35790013.884210527</v>
      </c>
      <c r="L48" s="1283">
        <v>496281362.5</v>
      </c>
      <c r="M48" s="1283">
        <v>397025090</v>
      </c>
      <c r="N48" s="1283">
        <v>272004105.51999998</v>
      </c>
      <c r="O48" s="1050"/>
      <c r="P48" s="1050"/>
      <c r="Q48" s="1050">
        <v>127283636.22</v>
      </c>
      <c r="R48" s="1050">
        <v>127283636.22</v>
      </c>
      <c r="S48" s="1050">
        <v>127283636.22</v>
      </c>
    </row>
    <row r="49" spans="1:19" ht="29.25" customHeight="1" x14ac:dyDescent="0.2">
      <c r="A49" s="1283" t="s">
        <v>1422</v>
      </c>
      <c r="B49" s="1283" t="s">
        <v>1505</v>
      </c>
      <c r="C49" s="1283" t="s">
        <v>1506</v>
      </c>
      <c r="D49" s="1283" t="s">
        <v>1507</v>
      </c>
      <c r="E49" s="1046" t="s">
        <v>1508</v>
      </c>
      <c r="F49" s="1061" t="s">
        <v>1509</v>
      </c>
      <c r="G49" s="1048">
        <v>27</v>
      </c>
      <c r="H49" s="1102" t="s">
        <v>1510</v>
      </c>
      <c r="I49" s="1057">
        <f t="shared" si="5"/>
        <v>116300700.92105263</v>
      </c>
      <c r="J49" s="1057">
        <f t="shared" si="5"/>
        <v>93040560.789473683</v>
      </c>
      <c r="K49" s="1057">
        <f t="shared" si="5"/>
        <v>63678137.5</v>
      </c>
      <c r="L49" s="1280">
        <v>883885327</v>
      </c>
      <c r="M49" s="1280">
        <v>707108262</v>
      </c>
      <c r="N49" s="1280">
        <v>483953845</v>
      </c>
      <c r="O49" s="1050"/>
      <c r="P49" s="1050"/>
      <c r="Q49" s="1050">
        <v>96428273.579999998</v>
      </c>
      <c r="R49" s="1050">
        <v>96428273.579999998</v>
      </c>
      <c r="S49" s="1050">
        <v>96428273.579999998</v>
      </c>
    </row>
    <row r="50" spans="1:19" ht="16.5" customHeight="1" x14ac:dyDescent="0.2">
      <c r="A50" s="1283" t="s">
        <v>1511</v>
      </c>
      <c r="B50" s="1283" t="s">
        <v>1512</v>
      </c>
      <c r="C50" s="1283" t="s">
        <v>1513</v>
      </c>
      <c r="D50" s="1283" t="s">
        <v>1514</v>
      </c>
      <c r="E50" s="1062" t="s">
        <v>1515</v>
      </c>
      <c r="F50" s="1061" t="s">
        <v>1516</v>
      </c>
      <c r="G50" s="1048">
        <v>28</v>
      </c>
      <c r="H50" s="1102" t="s">
        <v>1517</v>
      </c>
      <c r="I50" s="1057">
        <f t="shared" si="5"/>
        <v>78697261.21875</v>
      </c>
      <c r="J50" s="1057">
        <f t="shared" si="5"/>
        <v>62957808.975000001</v>
      </c>
      <c r="K50" s="1057">
        <f t="shared" si="5"/>
        <v>42283679.268421054</v>
      </c>
      <c r="L50" s="1280">
        <v>598099185.26249993</v>
      </c>
      <c r="M50" s="1280">
        <v>478479348.20999998</v>
      </c>
      <c r="N50" s="1280">
        <v>321355962.44</v>
      </c>
      <c r="O50" s="1050"/>
      <c r="P50" s="1050"/>
      <c r="Q50" s="1050">
        <v>49849485.5</v>
      </c>
      <c r="R50" s="1050">
        <v>49849485.5</v>
      </c>
      <c r="S50" s="1050">
        <v>49849485.5</v>
      </c>
    </row>
    <row r="51" spans="1:19" ht="15.75" customHeight="1" x14ac:dyDescent="0.2">
      <c r="A51" s="1283" t="s">
        <v>1518</v>
      </c>
      <c r="B51" s="1283" t="s">
        <v>1519</v>
      </c>
      <c r="C51" s="1283" t="s">
        <v>1520</v>
      </c>
      <c r="D51" s="1283" t="s">
        <v>1521</v>
      </c>
      <c r="E51" s="1062" t="s">
        <v>1522</v>
      </c>
      <c r="F51" s="1061" t="s">
        <v>1523</v>
      </c>
      <c r="G51" s="1048">
        <v>29</v>
      </c>
      <c r="H51" s="1102" t="s">
        <v>1524</v>
      </c>
      <c r="I51" s="1057">
        <f t="shared" si="5"/>
        <v>20508456.085526317</v>
      </c>
      <c r="J51" s="1057">
        <f t="shared" si="5"/>
        <v>16406764.868421054</v>
      </c>
      <c r="K51" s="1057">
        <f t="shared" si="5"/>
        <v>11269131.001315789</v>
      </c>
      <c r="L51" s="1280">
        <v>155864266.25</v>
      </c>
      <c r="M51" s="1280">
        <v>124691413</v>
      </c>
      <c r="N51" s="1280">
        <v>85645395.609999999</v>
      </c>
      <c r="O51" s="1050"/>
      <c r="P51" s="1050"/>
      <c r="Q51" s="1050">
        <v>0</v>
      </c>
      <c r="R51" s="1063">
        <v>0</v>
      </c>
      <c r="S51" s="1050">
        <v>0</v>
      </c>
    </row>
    <row r="52" spans="1:19" ht="15.75" customHeight="1" x14ac:dyDescent="0.2">
      <c r="A52" s="1271" t="s">
        <v>1525</v>
      </c>
      <c r="B52" s="1271" t="s">
        <v>1526</v>
      </c>
      <c r="C52" s="1271" t="s">
        <v>1527</v>
      </c>
      <c r="D52" s="1271" t="s">
        <v>1528</v>
      </c>
      <c r="E52" s="1064" t="s">
        <v>1529</v>
      </c>
      <c r="F52" s="1061" t="s">
        <v>1530</v>
      </c>
      <c r="G52" s="1065">
        <v>30</v>
      </c>
      <c r="H52" s="1199" t="s">
        <v>1531</v>
      </c>
      <c r="I52" s="1057">
        <f t="shared" si="5"/>
        <v>289730832.63157898</v>
      </c>
      <c r="J52" s="1057">
        <f t="shared" si="5"/>
        <v>231784666.05263159</v>
      </c>
      <c r="K52" s="1057">
        <f t="shared" si="5"/>
        <v>165335326.31578949</v>
      </c>
      <c r="L52" s="1280">
        <v>2201954328</v>
      </c>
      <c r="M52" s="1280">
        <v>1761563462</v>
      </c>
      <c r="N52" s="1280">
        <v>1256548480</v>
      </c>
      <c r="O52" s="1050"/>
      <c r="P52" s="1050"/>
      <c r="Q52" s="1050">
        <v>22762603</v>
      </c>
      <c r="R52" s="1050">
        <v>22762603</v>
      </c>
      <c r="S52" s="1050">
        <v>22762603</v>
      </c>
    </row>
    <row r="53" spans="1:19" ht="15.75" customHeight="1" x14ac:dyDescent="0.2">
      <c r="A53" s="1283" t="s">
        <v>1532</v>
      </c>
      <c r="B53" s="1283" t="s">
        <v>1533</v>
      </c>
      <c r="C53" s="1283" t="s">
        <v>1534</v>
      </c>
      <c r="D53" s="1283" t="s">
        <v>1535</v>
      </c>
      <c r="E53" s="1283" t="s">
        <v>1536</v>
      </c>
      <c r="F53" s="1061" t="s">
        <v>1537</v>
      </c>
      <c r="G53" s="1065">
        <v>31</v>
      </c>
      <c r="H53" s="1199" t="s">
        <v>1538</v>
      </c>
      <c r="I53" s="1060">
        <f t="shared" si="5"/>
        <v>16267274.289473685</v>
      </c>
      <c r="J53" s="1060">
        <f t="shared" si="5"/>
        <v>13013819.431578949</v>
      </c>
      <c r="K53" s="1060">
        <f t="shared" si="5"/>
        <v>9224463.3486842122</v>
      </c>
      <c r="L53" s="1280">
        <v>123631284.59999999</v>
      </c>
      <c r="M53" s="1056">
        <v>98905027.680000007</v>
      </c>
      <c r="N53" s="1056">
        <v>70105921.450000003</v>
      </c>
      <c r="O53" s="1050"/>
      <c r="P53" s="1050"/>
      <c r="Q53" s="1050">
        <v>18861719.719999999</v>
      </c>
      <c r="R53" s="1050">
        <v>18861719.719999999</v>
      </c>
      <c r="S53" s="1050">
        <v>18861719.719999999</v>
      </c>
    </row>
    <row r="54" spans="1:19" ht="13.5" customHeight="1" x14ac:dyDescent="0.2">
      <c r="A54" s="1283" t="s">
        <v>1539</v>
      </c>
      <c r="B54" s="1283" t="s">
        <v>1540</v>
      </c>
      <c r="C54" s="1283" t="s">
        <v>1534</v>
      </c>
      <c r="D54" s="1283" t="s">
        <v>1541</v>
      </c>
      <c r="E54" s="1283" t="s">
        <v>1542</v>
      </c>
      <c r="F54" s="1061" t="s">
        <v>1543</v>
      </c>
      <c r="G54" s="1065">
        <v>32</v>
      </c>
      <c r="H54" s="1199" t="s">
        <v>1544</v>
      </c>
      <c r="I54" s="1060">
        <f t="shared" ref="I54:K55" si="6">L54/7.6</f>
        <v>73249255.04342106</v>
      </c>
      <c r="J54" s="1049">
        <f t="shared" si="6"/>
        <v>58599404.034210533</v>
      </c>
      <c r="K54" s="1049">
        <f t="shared" si="6"/>
        <v>41685565.051315792</v>
      </c>
      <c r="L54" s="1285">
        <v>556694338.33000004</v>
      </c>
      <c r="M54" s="1066">
        <v>445355470.66000003</v>
      </c>
      <c r="N54" s="1066">
        <v>316810294.38999999</v>
      </c>
      <c r="O54" s="1050"/>
      <c r="P54" s="1050"/>
      <c r="Q54" s="1050">
        <v>35152338.850000001</v>
      </c>
      <c r="R54" s="1050">
        <v>34516010.649999999</v>
      </c>
      <c r="S54" s="1050">
        <v>34516010.649999999</v>
      </c>
    </row>
    <row r="55" spans="1:19" ht="13.5" customHeight="1" x14ac:dyDescent="0.2">
      <c r="A55" s="1283" t="s">
        <v>1464</v>
      </c>
      <c r="B55" s="1283" t="s">
        <v>1545</v>
      </c>
      <c r="C55" s="1283" t="s">
        <v>1546</v>
      </c>
      <c r="D55" s="1283" t="s">
        <v>1547</v>
      </c>
      <c r="E55" s="1283" t="s">
        <v>1548</v>
      </c>
      <c r="F55" s="1061" t="s">
        <v>1543</v>
      </c>
      <c r="G55" s="1065">
        <v>33</v>
      </c>
      <c r="H55" s="1199" t="s">
        <v>1549</v>
      </c>
      <c r="I55" s="1060">
        <f t="shared" si="6"/>
        <v>24898620.085526317</v>
      </c>
      <c r="J55" s="1049">
        <f t="shared" si="6"/>
        <v>19918896.068421055</v>
      </c>
      <c r="K55" s="1049">
        <f t="shared" si="6"/>
        <v>13359481.506578948</v>
      </c>
      <c r="L55" s="1283">
        <v>189229512.65000001</v>
      </c>
      <c r="M55" s="1067">
        <v>151383610.12</v>
      </c>
      <c r="N55" s="1068">
        <v>101532059.45</v>
      </c>
      <c r="O55" s="1050"/>
      <c r="P55" s="1050"/>
      <c r="Q55" s="1050">
        <v>7349.7</v>
      </c>
      <c r="R55" s="1063">
        <v>7349.7</v>
      </c>
      <c r="S55" s="1050">
        <v>7349.7</v>
      </c>
    </row>
    <row r="56" spans="1:19" ht="14.25" customHeight="1" x14ac:dyDescent="0.2">
      <c r="A56" s="1283" t="s">
        <v>1550</v>
      </c>
      <c r="B56" s="1283" t="s">
        <v>1551</v>
      </c>
      <c r="C56" s="1283" t="s">
        <v>1536</v>
      </c>
      <c r="D56" s="1283" t="s">
        <v>1552</v>
      </c>
      <c r="E56" s="1283" t="s">
        <v>1553</v>
      </c>
      <c r="F56" s="1061" t="s">
        <v>1543</v>
      </c>
      <c r="G56" s="1065">
        <v>34</v>
      </c>
      <c r="H56" s="1199" t="s">
        <v>1554</v>
      </c>
      <c r="I56" s="1060">
        <f t="shared" ref="I56:K58" si="7">(L56/7.6)</f>
        <v>60466492.809210531</v>
      </c>
      <c r="J56" s="1060">
        <f t="shared" si="7"/>
        <v>48373194.247368418</v>
      </c>
      <c r="K56" s="1060">
        <f t="shared" si="7"/>
        <v>34357837.767105266</v>
      </c>
      <c r="L56" s="1056">
        <v>459545345.35000002</v>
      </c>
      <c r="M56" s="1056">
        <v>367636276.27999997</v>
      </c>
      <c r="N56" s="1056">
        <v>261119567.03</v>
      </c>
      <c r="O56" s="1050"/>
      <c r="P56" s="1050"/>
      <c r="Q56" s="1050">
        <v>45689118.090000004</v>
      </c>
      <c r="R56" s="1050">
        <v>45689118.090000004</v>
      </c>
      <c r="S56" s="1050">
        <v>45689118.090000004</v>
      </c>
    </row>
    <row r="57" spans="1:19" ht="12.75" customHeight="1" x14ac:dyDescent="0.2">
      <c r="A57" s="1283" t="s">
        <v>1464</v>
      </c>
      <c r="B57" s="1283" t="s">
        <v>1555</v>
      </c>
      <c r="C57" s="1283" t="s">
        <v>1556</v>
      </c>
      <c r="D57" s="1283" t="s">
        <v>1557</v>
      </c>
      <c r="E57" s="1283" t="s">
        <v>1537</v>
      </c>
      <c r="F57" s="1061" t="s">
        <v>1543</v>
      </c>
      <c r="G57" s="1065">
        <v>35</v>
      </c>
      <c r="H57" s="1199" t="s">
        <v>1558</v>
      </c>
      <c r="I57" s="1057">
        <f t="shared" si="7"/>
        <v>40847613.435526319</v>
      </c>
      <c r="J57" s="1057">
        <f t="shared" si="7"/>
        <v>32678090.748684213</v>
      </c>
      <c r="K57" s="1057">
        <f t="shared" si="7"/>
        <v>22696636.289473686</v>
      </c>
      <c r="L57" s="1283">
        <v>310441862.11000001</v>
      </c>
      <c r="M57" s="1283">
        <v>248353489.69</v>
      </c>
      <c r="N57" s="1283">
        <v>172494435.80000001</v>
      </c>
      <c r="O57" s="1050"/>
      <c r="P57" s="1050"/>
      <c r="Q57" s="832">
        <v>17368229.09</v>
      </c>
      <c r="R57" s="832">
        <v>17368229.09</v>
      </c>
      <c r="S57" s="832">
        <v>17368229.09</v>
      </c>
    </row>
    <row r="58" spans="1:19" ht="12" customHeight="1" x14ac:dyDescent="0.2">
      <c r="A58" s="1283" t="s">
        <v>1559</v>
      </c>
      <c r="B58" s="1283" t="s">
        <v>1560</v>
      </c>
      <c r="C58" s="1283" t="s">
        <v>1561</v>
      </c>
      <c r="D58" s="1283" t="s">
        <v>1562</v>
      </c>
      <c r="E58" s="1046" t="s">
        <v>1563</v>
      </c>
      <c r="F58" s="1061" t="s">
        <v>1564</v>
      </c>
      <c r="G58" s="1065">
        <v>36</v>
      </c>
      <c r="H58" s="1274" t="s">
        <v>1565</v>
      </c>
      <c r="I58" s="1057">
        <f t="shared" si="7"/>
        <v>33878011.677631579</v>
      </c>
      <c r="J58" s="1057">
        <f t="shared" si="7"/>
        <v>27102409.342105266</v>
      </c>
      <c r="K58" s="1057">
        <f t="shared" si="7"/>
        <v>19431749.938157897</v>
      </c>
      <c r="L58" s="1056">
        <v>257472888.75</v>
      </c>
      <c r="M58" s="1056">
        <v>205978311</v>
      </c>
      <c r="N58" s="1056">
        <v>147681299.53</v>
      </c>
      <c r="O58" s="1050"/>
      <c r="P58" s="1050"/>
      <c r="Q58" s="1050">
        <v>7813267.1100000003</v>
      </c>
      <c r="R58" s="1050">
        <v>7813267.1100000003</v>
      </c>
      <c r="S58" s="1050">
        <v>7813267.1100000003</v>
      </c>
    </row>
    <row r="59" spans="1:19" ht="12" customHeight="1" x14ac:dyDescent="0.2">
      <c r="A59" s="1283" t="s">
        <v>1566</v>
      </c>
      <c r="B59" s="1283" t="s">
        <v>1567</v>
      </c>
      <c r="C59" s="1283" t="s">
        <v>1568</v>
      </c>
      <c r="D59" s="1283" t="s">
        <v>1569</v>
      </c>
      <c r="E59" s="1046" t="s">
        <v>1570</v>
      </c>
      <c r="F59" s="1061" t="s">
        <v>1571</v>
      </c>
      <c r="G59" s="1065">
        <v>37</v>
      </c>
      <c r="H59" s="1274" t="s">
        <v>1572</v>
      </c>
      <c r="I59" s="1060">
        <f t="shared" ref="I59:K78" si="8">L59/7.6</f>
        <v>64265086.332894742</v>
      </c>
      <c r="J59" s="1060">
        <f t="shared" si="8"/>
        <v>51412069.065789476</v>
      </c>
      <c r="K59" s="1060">
        <f t="shared" si="8"/>
        <v>34600958.228947371</v>
      </c>
      <c r="L59" s="1056">
        <v>488414656.13</v>
      </c>
      <c r="M59" s="1056">
        <v>390731724.89999998</v>
      </c>
      <c r="N59" s="1056">
        <v>262967282.53999999</v>
      </c>
      <c r="O59" s="1050"/>
      <c r="P59" s="1050"/>
      <c r="Q59" s="1050">
        <v>5563493.9699999997</v>
      </c>
      <c r="R59" s="1050">
        <v>5563493.9699999997</v>
      </c>
      <c r="S59" s="1050">
        <v>5563493.9699999997</v>
      </c>
    </row>
    <row r="60" spans="1:19" ht="12" customHeight="1" x14ac:dyDescent="0.2">
      <c r="A60" s="1283" t="s">
        <v>1573</v>
      </c>
      <c r="B60" s="1283" t="s">
        <v>1574</v>
      </c>
      <c r="C60" s="1283" t="s">
        <v>1575</v>
      </c>
      <c r="D60" s="1283" t="s">
        <v>1576</v>
      </c>
      <c r="E60" s="1046" t="s">
        <v>1577</v>
      </c>
      <c r="F60" s="1061" t="s">
        <v>1578</v>
      </c>
      <c r="G60" s="1065">
        <v>38</v>
      </c>
      <c r="H60" s="1274" t="s">
        <v>1579</v>
      </c>
      <c r="I60" s="1060">
        <f t="shared" si="8"/>
        <v>49781217.319736846</v>
      </c>
      <c r="J60" s="1060">
        <f t="shared" si="8"/>
        <v>39824973.855263159</v>
      </c>
      <c r="K60" s="1060">
        <f t="shared" si="8"/>
        <v>27843432.398684211</v>
      </c>
      <c r="L60" s="1280">
        <v>378337251.63</v>
      </c>
      <c r="M60" s="1056">
        <v>302669801.30000001</v>
      </c>
      <c r="N60" s="1056">
        <v>211610086.22999999</v>
      </c>
      <c r="O60" s="1050"/>
      <c r="P60" s="1050"/>
      <c r="Q60" s="1050">
        <v>6021125.1399999997</v>
      </c>
      <c r="R60" s="1050">
        <v>6021125.1399999997</v>
      </c>
      <c r="S60" s="1050">
        <v>6021125.1399999997</v>
      </c>
    </row>
    <row r="61" spans="1:19" ht="12" customHeight="1" x14ac:dyDescent="0.2">
      <c r="A61" s="1283" t="s">
        <v>1580</v>
      </c>
      <c r="B61" s="1283" t="s">
        <v>1581</v>
      </c>
      <c r="C61" s="1283" t="s">
        <v>1582</v>
      </c>
      <c r="D61" s="1283" t="s">
        <v>1583</v>
      </c>
      <c r="E61" s="1046" t="s">
        <v>1584</v>
      </c>
      <c r="F61" s="1061" t="s">
        <v>1585</v>
      </c>
      <c r="G61" s="1065">
        <v>39</v>
      </c>
      <c r="H61" s="1200" t="s">
        <v>1586</v>
      </c>
      <c r="I61" s="1060">
        <f t="shared" si="8"/>
        <v>74612133.552631587</v>
      </c>
      <c r="J61" s="1060">
        <f t="shared" si="8"/>
        <v>59689706.842105269</v>
      </c>
      <c r="K61" s="1060">
        <f t="shared" si="8"/>
        <v>41271020.361842111</v>
      </c>
      <c r="L61" s="1045">
        <v>567052215</v>
      </c>
      <c r="M61" s="1045">
        <v>453641772</v>
      </c>
      <c r="N61" s="1045">
        <v>313659754.75</v>
      </c>
      <c r="O61" s="1050"/>
      <c r="P61" s="1050"/>
      <c r="Q61" s="1050">
        <v>7369537.4800000004</v>
      </c>
      <c r="R61" s="1050">
        <v>7369537.4800000004</v>
      </c>
      <c r="S61" s="1050">
        <v>7369537.4800000004</v>
      </c>
    </row>
    <row r="62" spans="1:19" ht="12" customHeight="1" x14ac:dyDescent="0.2">
      <c r="A62" s="1069" t="s">
        <v>1587</v>
      </c>
      <c r="B62" s="1069" t="s">
        <v>1588</v>
      </c>
      <c r="C62" s="1069" t="s">
        <v>1589</v>
      </c>
      <c r="D62" s="1069" t="s">
        <v>1590</v>
      </c>
      <c r="E62" s="1069" t="s">
        <v>1591</v>
      </c>
      <c r="F62" s="1061" t="s">
        <v>1592</v>
      </c>
      <c r="G62" s="1065">
        <v>40</v>
      </c>
      <c r="H62" s="1274" t="s">
        <v>1593</v>
      </c>
      <c r="I62" s="1060">
        <f t="shared" si="8"/>
        <v>32563799.342105266</v>
      </c>
      <c r="J62" s="1060">
        <f t="shared" si="8"/>
        <v>26051039.47368421</v>
      </c>
      <c r="K62" s="1060">
        <f t="shared" si="8"/>
        <v>17485134.675000001</v>
      </c>
      <c r="L62" s="1280">
        <v>247484875</v>
      </c>
      <c r="M62" s="1280">
        <v>197987900</v>
      </c>
      <c r="N62" s="1280">
        <v>132887023.53</v>
      </c>
      <c r="O62" s="1050"/>
      <c r="P62" s="1050"/>
      <c r="Q62" s="1050">
        <v>5853504.1799999997</v>
      </c>
      <c r="R62" s="1050">
        <v>5853504.1799999997</v>
      </c>
      <c r="S62" s="1050">
        <v>5853504.1799999997</v>
      </c>
    </row>
    <row r="63" spans="1:19" ht="12" customHeight="1" x14ac:dyDescent="0.2">
      <c r="A63" s="1069" t="s">
        <v>1594</v>
      </c>
      <c r="B63" s="1069" t="s">
        <v>1595</v>
      </c>
      <c r="C63" s="1069" t="s">
        <v>1589</v>
      </c>
      <c r="D63" s="1069" t="s">
        <v>1596</v>
      </c>
      <c r="E63" s="1069" t="s">
        <v>1591</v>
      </c>
      <c r="F63" s="1061" t="s">
        <v>1592</v>
      </c>
      <c r="G63" s="1065">
        <v>41</v>
      </c>
      <c r="H63" s="1274" t="s">
        <v>1597</v>
      </c>
      <c r="I63" s="1060">
        <f t="shared" si="8"/>
        <v>62324621.381578952</v>
      </c>
      <c r="J63" s="1060">
        <f t="shared" si="8"/>
        <v>49859697.105263159</v>
      </c>
      <c r="K63" s="1060">
        <f t="shared" si="8"/>
        <v>34090649.510526314</v>
      </c>
      <c r="L63" s="1070">
        <v>473667122.5</v>
      </c>
      <c r="M63" s="1070">
        <v>378933698</v>
      </c>
      <c r="N63" s="1070">
        <v>259088936.28</v>
      </c>
      <c r="O63" s="1050"/>
      <c r="P63" s="1050"/>
      <c r="Q63" s="1050">
        <v>7737638.4199999999</v>
      </c>
      <c r="R63" s="1050">
        <v>7737638.4199999999</v>
      </c>
      <c r="S63" s="1050">
        <v>7737638.4199999999</v>
      </c>
    </row>
    <row r="64" spans="1:19" ht="12" customHeight="1" x14ac:dyDescent="0.2">
      <c r="A64" s="1069" t="s">
        <v>1598</v>
      </c>
      <c r="B64" s="1069" t="s">
        <v>1599</v>
      </c>
      <c r="C64" s="1069" t="s">
        <v>1600</v>
      </c>
      <c r="D64" s="1069" t="s">
        <v>1600</v>
      </c>
      <c r="E64" s="1046" t="s">
        <v>1601</v>
      </c>
      <c r="F64" s="1061" t="s">
        <v>1602</v>
      </c>
      <c r="G64" s="1065">
        <v>42</v>
      </c>
      <c r="H64" s="1200" t="s">
        <v>1603</v>
      </c>
      <c r="I64" s="1060">
        <f t="shared" si="8"/>
        <v>59034521.217105269</v>
      </c>
      <c r="J64" s="1060">
        <f t="shared" si="8"/>
        <v>47227616.973684214</v>
      </c>
      <c r="K64" s="1060">
        <f t="shared" si="8"/>
        <v>33381102.443421055</v>
      </c>
      <c r="L64" s="1045">
        <v>448662361.25</v>
      </c>
      <c r="M64" s="1045">
        <v>358929889</v>
      </c>
      <c r="N64" s="1045">
        <v>253696378.56999999</v>
      </c>
      <c r="O64" s="1050"/>
      <c r="P64" s="1050"/>
      <c r="Q64" s="1050">
        <v>2104355.19</v>
      </c>
      <c r="R64" s="1050">
        <v>1485893.66</v>
      </c>
      <c r="S64" s="1050">
        <v>1485893.66</v>
      </c>
    </row>
    <row r="65" spans="1:19" ht="12" customHeight="1" x14ac:dyDescent="0.2">
      <c r="A65" s="1069" t="s">
        <v>1604</v>
      </c>
      <c r="B65" s="1069" t="s">
        <v>1605</v>
      </c>
      <c r="C65" s="1069" t="s">
        <v>1606</v>
      </c>
      <c r="D65" s="1069" t="s">
        <v>1607</v>
      </c>
      <c r="E65" s="1069" t="s">
        <v>1608</v>
      </c>
      <c r="F65" s="1061" t="s">
        <v>1609</v>
      </c>
      <c r="G65" s="1065">
        <v>43</v>
      </c>
      <c r="H65" s="1200" t="s">
        <v>1610</v>
      </c>
      <c r="I65" s="1060">
        <f t="shared" si="8"/>
        <v>89973830.592105269</v>
      </c>
      <c r="J65" s="1060">
        <f t="shared" si="8"/>
        <v>71979064.473684207</v>
      </c>
      <c r="K65" s="1060">
        <f t="shared" si="8"/>
        <v>51025264.771052636</v>
      </c>
      <c r="L65" s="1280">
        <v>683801112.5</v>
      </c>
      <c r="M65" s="1280">
        <v>547040890</v>
      </c>
      <c r="N65" s="1280">
        <v>387792012.25999999</v>
      </c>
      <c r="O65" s="1050"/>
      <c r="P65" s="1050"/>
      <c r="Q65" s="1050">
        <v>12076485.390000001</v>
      </c>
      <c r="R65" s="1050">
        <v>12076485.390000001</v>
      </c>
      <c r="S65" s="1050">
        <v>12076485.390000001</v>
      </c>
    </row>
    <row r="66" spans="1:19" ht="12" customHeight="1" x14ac:dyDescent="0.2">
      <c r="A66" s="1069" t="s">
        <v>1611</v>
      </c>
      <c r="B66" s="1069" t="s">
        <v>1612</v>
      </c>
      <c r="C66" s="1069" t="s">
        <v>1613</v>
      </c>
      <c r="D66" s="1069" t="s">
        <v>1614</v>
      </c>
      <c r="E66" s="1069" t="s">
        <v>1615</v>
      </c>
      <c r="F66" s="1061" t="s">
        <v>1616</v>
      </c>
      <c r="G66" s="1065">
        <v>44</v>
      </c>
      <c r="H66" s="1199" t="s">
        <v>1617</v>
      </c>
      <c r="I66" s="1060">
        <f t="shared" si="8"/>
        <v>32775580.359210525</v>
      </c>
      <c r="J66" s="1060">
        <f t="shared" si="8"/>
        <v>26220464.286842108</v>
      </c>
      <c r="K66" s="1060">
        <f t="shared" si="8"/>
        <v>18104502.056578949</v>
      </c>
      <c r="L66" s="1280">
        <v>249094410.72999999</v>
      </c>
      <c r="M66" s="1280">
        <v>199275528.58000001</v>
      </c>
      <c r="N66" s="1280">
        <v>137594215.63</v>
      </c>
      <c r="O66" s="1050"/>
      <c r="P66" s="1050"/>
      <c r="Q66" s="1050">
        <v>2376838.19</v>
      </c>
      <c r="R66" s="1050">
        <v>2376838.19</v>
      </c>
      <c r="S66" s="1050">
        <v>2376838.19</v>
      </c>
    </row>
    <row r="67" spans="1:19" ht="12" customHeight="1" x14ac:dyDescent="0.2">
      <c r="A67" s="1069" t="s">
        <v>1618</v>
      </c>
      <c r="B67" s="1069" t="s">
        <v>1619</v>
      </c>
      <c r="C67" s="1069" t="s">
        <v>1620</v>
      </c>
      <c r="D67" s="1069" t="s">
        <v>1621</v>
      </c>
      <c r="E67" s="1069" t="s">
        <v>1622</v>
      </c>
      <c r="F67" s="1061" t="s">
        <v>1623</v>
      </c>
      <c r="G67" s="1065">
        <v>45</v>
      </c>
      <c r="H67" s="1274" t="s">
        <v>1624</v>
      </c>
      <c r="I67" s="1060">
        <f t="shared" si="8"/>
        <v>189314242.61842105</v>
      </c>
      <c r="J67" s="1060">
        <f t="shared" si="8"/>
        <v>151451394.09473684</v>
      </c>
      <c r="K67" s="1060">
        <f t="shared" si="8"/>
        <v>105687206.38289474</v>
      </c>
      <c r="L67" s="1280">
        <v>1438788243.8999999</v>
      </c>
      <c r="M67" s="1056">
        <v>1151030595.1199999</v>
      </c>
      <c r="N67" s="1056">
        <v>803222768.50999999</v>
      </c>
      <c r="O67" s="1050"/>
      <c r="P67" s="1050"/>
      <c r="Q67" s="1050">
        <v>37013278.979999997</v>
      </c>
      <c r="R67" s="1050">
        <v>37013278.979999997</v>
      </c>
      <c r="S67" s="1050">
        <v>37013278.979999997</v>
      </c>
    </row>
    <row r="68" spans="1:19" ht="12" customHeight="1" x14ac:dyDescent="0.2">
      <c r="A68" s="1069" t="s">
        <v>1625</v>
      </c>
      <c r="B68" s="1069" t="s">
        <v>1626</v>
      </c>
      <c r="C68" s="1069" t="s">
        <v>1627</v>
      </c>
      <c r="D68" s="1069" t="s">
        <v>1628</v>
      </c>
      <c r="E68" s="1069" t="s">
        <v>1629</v>
      </c>
      <c r="F68" s="1071" t="s">
        <v>1630</v>
      </c>
      <c r="G68" s="1065">
        <v>46</v>
      </c>
      <c r="H68" s="1274" t="s">
        <v>1631</v>
      </c>
      <c r="I68" s="1060">
        <f t="shared" si="8"/>
        <v>64025400.657894738</v>
      </c>
      <c r="J68" s="1060">
        <f t="shared" si="8"/>
        <v>50923704.736842111</v>
      </c>
      <c r="K68" s="1072">
        <f t="shared" si="8"/>
        <v>34652038.032894738</v>
      </c>
      <c r="L68" s="1280">
        <v>486593045</v>
      </c>
      <c r="M68" s="1280">
        <v>387020156</v>
      </c>
      <c r="N68" s="1280">
        <v>263355489.05000001</v>
      </c>
      <c r="O68" s="1050"/>
      <c r="P68" s="1050"/>
      <c r="Q68" s="1050">
        <v>523638.2</v>
      </c>
      <c r="R68" s="1063">
        <v>523638.2</v>
      </c>
      <c r="S68" s="1050">
        <v>523638.2</v>
      </c>
    </row>
    <row r="69" spans="1:19" ht="12" customHeight="1" x14ac:dyDescent="0.2">
      <c r="A69" s="1069" t="s">
        <v>1587</v>
      </c>
      <c r="B69" s="1069" t="s">
        <v>1632</v>
      </c>
      <c r="C69" s="1069" t="s">
        <v>1633</v>
      </c>
      <c r="D69" s="1069" t="s">
        <v>1634</v>
      </c>
      <c r="E69" s="1069" t="s">
        <v>1635</v>
      </c>
      <c r="F69" s="1061" t="s">
        <v>1636</v>
      </c>
      <c r="G69" s="1065">
        <v>47</v>
      </c>
      <c r="H69" s="1274" t="s">
        <v>1637</v>
      </c>
      <c r="I69" s="1060">
        <f t="shared" si="8"/>
        <v>19191276.809210528</v>
      </c>
      <c r="J69" s="1060">
        <f t="shared" si="8"/>
        <v>15353021.447368423</v>
      </c>
      <c r="K69" s="1060">
        <f t="shared" si="8"/>
        <v>11070135.752631579</v>
      </c>
      <c r="L69" s="1280">
        <v>145853703.75</v>
      </c>
      <c r="M69" s="1280">
        <v>116682963</v>
      </c>
      <c r="N69" s="1280">
        <v>84133031.719999999</v>
      </c>
      <c r="O69" s="1050"/>
      <c r="P69" s="1050"/>
      <c r="Q69" s="1050"/>
      <c r="R69" s="1063"/>
      <c r="S69" s="1050"/>
    </row>
    <row r="70" spans="1:19" ht="12" customHeight="1" x14ac:dyDescent="0.2">
      <c r="A70" s="1069" t="s">
        <v>1587</v>
      </c>
      <c r="B70" s="1069" t="s">
        <v>1638</v>
      </c>
      <c r="C70" s="1069" t="s">
        <v>1639</v>
      </c>
      <c r="D70" s="1069" t="s">
        <v>1640</v>
      </c>
      <c r="E70" s="1069" t="s">
        <v>1641</v>
      </c>
      <c r="F70" s="1061" t="s">
        <v>1636</v>
      </c>
      <c r="G70" s="1065">
        <v>48</v>
      </c>
      <c r="H70" s="1274" t="s">
        <v>1642</v>
      </c>
      <c r="I70" s="1060">
        <f t="shared" si="8"/>
        <v>28890429.111842107</v>
      </c>
      <c r="J70" s="1060">
        <f t="shared" si="8"/>
        <v>23112343.289473686</v>
      </c>
      <c r="K70" s="1060">
        <f t="shared" si="8"/>
        <v>16017657.381578946</v>
      </c>
      <c r="L70" s="1280">
        <v>219567261.25</v>
      </c>
      <c r="M70" s="1280">
        <v>175653809</v>
      </c>
      <c r="N70" s="1280">
        <v>121734196.09999999</v>
      </c>
      <c r="O70" s="1050"/>
      <c r="P70" s="1050"/>
      <c r="Q70" s="1050">
        <v>398892.56</v>
      </c>
      <c r="R70" s="1050">
        <v>398892.56</v>
      </c>
      <c r="S70" s="1050">
        <v>398892.56</v>
      </c>
    </row>
    <row r="71" spans="1:19" ht="12" customHeight="1" x14ac:dyDescent="0.2">
      <c r="A71" s="1069" t="s">
        <v>1643</v>
      </c>
      <c r="B71" s="1069" t="s">
        <v>1644</v>
      </c>
      <c r="C71" s="1069" t="s">
        <v>1641</v>
      </c>
      <c r="D71" s="1069" t="s">
        <v>1645</v>
      </c>
      <c r="E71" s="1069" t="s">
        <v>1646</v>
      </c>
      <c r="F71" s="1061" t="s">
        <v>1636</v>
      </c>
      <c r="G71" s="1065">
        <v>49</v>
      </c>
      <c r="H71" s="1274" t="s">
        <v>1647</v>
      </c>
      <c r="I71" s="1060">
        <f t="shared" si="8"/>
        <v>27345159.539473686</v>
      </c>
      <c r="J71" s="1060">
        <f t="shared" si="8"/>
        <v>21876127.631578948</v>
      </c>
      <c r="K71" s="1060">
        <f t="shared" si="8"/>
        <v>15323867.761842106</v>
      </c>
      <c r="L71" s="1045">
        <v>207823212.5</v>
      </c>
      <c r="M71" s="1045">
        <v>166258570</v>
      </c>
      <c r="N71" s="1045">
        <v>116461394.98999999</v>
      </c>
      <c r="O71" s="1050"/>
      <c r="P71" s="1050"/>
      <c r="Q71" s="1050">
        <v>668417.54999999993</v>
      </c>
      <c r="R71" s="1050">
        <v>668417.54999999993</v>
      </c>
      <c r="S71" s="1050">
        <v>668417.54999999993</v>
      </c>
    </row>
    <row r="72" spans="1:19" ht="12" customHeight="1" x14ac:dyDescent="0.2">
      <c r="A72" s="1069" t="s">
        <v>1643</v>
      </c>
      <c r="B72" s="1069" t="s">
        <v>1648</v>
      </c>
      <c r="C72" s="1069" t="s">
        <v>1649</v>
      </c>
      <c r="D72" s="1069" t="s">
        <v>1650</v>
      </c>
      <c r="E72" s="1069" t="s">
        <v>1639</v>
      </c>
      <c r="F72" s="1061" t="s">
        <v>1651</v>
      </c>
      <c r="G72" s="1065">
        <v>50</v>
      </c>
      <c r="H72" s="1274" t="s">
        <v>1652</v>
      </c>
      <c r="I72" s="1060">
        <f t="shared" si="8"/>
        <v>67446268.871052638</v>
      </c>
      <c r="J72" s="1060">
        <f t="shared" si="8"/>
        <v>53957015.096052639</v>
      </c>
      <c r="K72" s="1060">
        <f t="shared" si="8"/>
        <v>37344326.094736844</v>
      </c>
      <c r="L72" s="1045">
        <v>512591643.42000002</v>
      </c>
      <c r="M72" s="1045">
        <v>410073314.73000002</v>
      </c>
      <c r="N72" s="1045">
        <v>283816878.31999999</v>
      </c>
      <c r="O72" s="1050"/>
      <c r="P72" s="1050"/>
      <c r="Q72" s="1050">
        <v>1123031.1200000001</v>
      </c>
      <c r="R72" s="1050">
        <v>1123031.1200000001</v>
      </c>
      <c r="S72" s="1050">
        <v>1123031.1200000001</v>
      </c>
    </row>
    <row r="73" spans="1:19" ht="12" customHeight="1" x14ac:dyDescent="0.2">
      <c r="A73" s="1069" t="s">
        <v>1653</v>
      </c>
      <c r="B73" s="1069" t="s">
        <v>1654</v>
      </c>
      <c r="C73" s="1069" t="s">
        <v>1655</v>
      </c>
      <c r="D73" s="1069" t="s">
        <v>1656</v>
      </c>
      <c r="E73" s="1069" t="s">
        <v>1657</v>
      </c>
      <c r="F73" s="1061" t="s">
        <v>1651</v>
      </c>
      <c r="G73" s="1065">
        <v>51</v>
      </c>
      <c r="H73" s="1274" t="s">
        <v>1658</v>
      </c>
      <c r="I73" s="1060">
        <f t="shared" si="8"/>
        <v>46383718.888157897</v>
      </c>
      <c r="J73" s="1060">
        <f t="shared" si="8"/>
        <v>37106975.110526316</v>
      </c>
      <c r="K73" s="1060">
        <f t="shared" si="8"/>
        <v>25826352.818421051</v>
      </c>
      <c r="L73" s="1280">
        <v>352516263.55000001</v>
      </c>
      <c r="M73" s="1280">
        <v>282013010.83999997</v>
      </c>
      <c r="N73" s="1280">
        <v>196280281.41999999</v>
      </c>
      <c r="O73" s="1050"/>
      <c r="P73" s="1050"/>
      <c r="Q73" s="1050">
        <v>347481.98</v>
      </c>
      <c r="R73" s="1063">
        <v>347481.98</v>
      </c>
      <c r="S73" s="1050">
        <v>347481.98</v>
      </c>
    </row>
    <row r="74" spans="1:19" ht="12" customHeight="1" x14ac:dyDescent="0.2">
      <c r="A74" s="1069" t="s">
        <v>1659</v>
      </c>
      <c r="B74" s="1069" t="s">
        <v>1660</v>
      </c>
      <c r="C74" s="1069" t="s">
        <v>1661</v>
      </c>
      <c r="D74" s="1069" t="s">
        <v>1662</v>
      </c>
      <c r="E74" s="1069" t="s">
        <v>1663</v>
      </c>
      <c r="F74" s="1061" t="s">
        <v>1664</v>
      </c>
      <c r="G74" s="1065">
        <v>52</v>
      </c>
      <c r="H74" s="1274" t="s">
        <v>1665</v>
      </c>
      <c r="I74" s="1060">
        <f t="shared" si="8"/>
        <v>235757974.03026319</v>
      </c>
      <c r="J74" s="1060">
        <f t="shared" si="8"/>
        <v>186764273.96052632</v>
      </c>
      <c r="K74" s="1060">
        <f t="shared" si="8"/>
        <v>128330925.37894738</v>
      </c>
      <c r="L74" s="1045">
        <v>1791760602.6300001</v>
      </c>
      <c r="M74" s="1045">
        <v>1419408482.0999999</v>
      </c>
      <c r="N74" s="1045">
        <v>975315032.88</v>
      </c>
      <c r="O74" s="1050"/>
      <c r="P74" s="1050"/>
      <c r="Q74" s="1050">
        <v>15861106.01</v>
      </c>
      <c r="R74" s="1050">
        <v>15861106.01</v>
      </c>
      <c r="S74" s="1050">
        <v>15861106.01</v>
      </c>
    </row>
    <row r="75" spans="1:19" ht="13.5" customHeight="1" x14ac:dyDescent="0.2">
      <c r="A75" s="1069" t="s">
        <v>1666</v>
      </c>
      <c r="B75" s="1069" t="s">
        <v>1667</v>
      </c>
      <c r="C75" s="1069" t="s">
        <v>1668</v>
      </c>
      <c r="D75" s="1069" t="s">
        <v>1669</v>
      </c>
      <c r="E75" s="1069" t="s">
        <v>1670</v>
      </c>
      <c r="F75" s="1061" t="s">
        <v>1671</v>
      </c>
      <c r="G75" s="1065">
        <v>53</v>
      </c>
      <c r="H75" s="1274" t="s">
        <v>1672</v>
      </c>
      <c r="I75" s="1060">
        <f t="shared" si="8"/>
        <v>37995735.485526316</v>
      </c>
      <c r="J75" s="1060">
        <f t="shared" si="8"/>
        <v>30396588.388157897</v>
      </c>
      <c r="K75" s="1060">
        <f t="shared" si="8"/>
        <v>21270476.689473685</v>
      </c>
      <c r="L75" s="1280">
        <v>288767589.69</v>
      </c>
      <c r="M75" s="1280">
        <v>231014071.75</v>
      </c>
      <c r="N75" s="1280">
        <v>161655622.84</v>
      </c>
      <c r="O75" s="1050"/>
      <c r="P75" s="1050"/>
      <c r="Q75" s="1050">
        <v>811289.66</v>
      </c>
      <c r="R75" s="1050">
        <v>811289.66</v>
      </c>
      <c r="S75" s="1050">
        <v>811289.66</v>
      </c>
    </row>
    <row r="76" spans="1:19" ht="13.5" customHeight="1" x14ac:dyDescent="0.2">
      <c r="A76" s="1069" t="s">
        <v>1587</v>
      </c>
      <c r="B76" s="1069" t="s">
        <v>1673</v>
      </c>
      <c r="C76" s="1069" t="s">
        <v>1674</v>
      </c>
      <c r="D76" s="1069" t="s">
        <v>1675</v>
      </c>
      <c r="E76" s="1069" t="s">
        <v>1668</v>
      </c>
      <c r="F76" s="1061" t="s">
        <v>1676</v>
      </c>
      <c r="G76" s="1065">
        <v>54</v>
      </c>
      <c r="H76" s="1274" t="s">
        <v>1677</v>
      </c>
      <c r="I76" s="1060">
        <f t="shared" si="8"/>
        <v>34477573.190789476</v>
      </c>
      <c r="J76" s="1060">
        <f t="shared" si="8"/>
        <v>27582058.552631579</v>
      </c>
      <c r="K76" s="1072">
        <f t="shared" si="8"/>
        <v>19609053.085526314</v>
      </c>
      <c r="L76" s="1280">
        <v>262029556.25</v>
      </c>
      <c r="M76" s="1280">
        <v>209623645</v>
      </c>
      <c r="N76" s="1280">
        <v>149028803.44999999</v>
      </c>
      <c r="O76" s="1050"/>
      <c r="P76" s="1050"/>
      <c r="Q76" s="1050">
        <v>3111790.3</v>
      </c>
      <c r="R76" s="1050">
        <v>3111790.3</v>
      </c>
      <c r="S76" s="1050">
        <v>3111790.3</v>
      </c>
    </row>
    <row r="77" spans="1:19" ht="13.5" customHeight="1" x14ac:dyDescent="0.2">
      <c r="A77" s="1069" t="s">
        <v>1678</v>
      </c>
      <c r="B77" s="1069" t="s">
        <v>1679</v>
      </c>
      <c r="C77" s="1069" t="s">
        <v>1680</v>
      </c>
      <c r="D77" s="1069" t="s">
        <v>1681</v>
      </c>
      <c r="E77" s="1041" t="s">
        <v>1682</v>
      </c>
      <c r="F77" s="1061" t="s">
        <v>1683</v>
      </c>
      <c r="G77" s="1065">
        <v>55</v>
      </c>
      <c r="H77" s="1274" t="s">
        <v>1684</v>
      </c>
      <c r="I77" s="1060">
        <f t="shared" si="8"/>
        <v>35073349.375</v>
      </c>
      <c r="J77" s="1060">
        <f t="shared" si="8"/>
        <v>28079732.131578948</v>
      </c>
      <c r="K77" s="1060">
        <f t="shared" si="8"/>
        <v>20070874.050000001</v>
      </c>
      <c r="L77" s="1073">
        <v>266557455.25</v>
      </c>
      <c r="M77" s="1074">
        <v>213405964.19999999</v>
      </c>
      <c r="N77" s="1070">
        <v>152538642.78</v>
      </c>
      <c r="O77" s="1050"/>
      <c r="P77" s="1050"/>
      <c r="Q77" s="1050">
        <v>1218773.28</v>
      </c>
      <c r="R77" s="1050">
        <v>1218773.28</v>
      </c>
      <c r="S77" s="1050">
        <v>1218773.28</v>
      </c>
    </row>
    <row r="78" spans="1:19" ht="13.5" customHeight="1" x14ac:dyDescent="0.2">
      <c r="A78" s="1069" t="s">
        <v>1685</v>
      </c>
      <c r="B78" s="1069" t="s">
        <v>1686</v>
      </c>
      <c r="C78" s="1069" t="s">
        <v>1682</v>
      </c>
      <c r="D78" s="1069" t="s">
        <v>1687</v>
      </c>
      <c r="E78" s="1069" t="s">
        <v>1688</v>
      </c>
      <c r="F78" s="1061" t="s">
        <v>1683</v>
      </c>
      <c r="G78" s="1065">
        <v>56</v>
      </c>
      <c r="H78" s="1274" t="s">
        <v>1689</v>
      </c>
      <c r="I78" s="1060">
        <f t="shared" si="8"/>
        <v>42166155.444078952</v>
      </c>
      <c r="J78" s="1060">
        <f t="shared" si="8"/>
        <v>33732924.355263159</v>
      </c>
      <c r="K78" s="1060">
        <f t="shared" si="8"/>
        <v>23667250.60657895</v>
      </c>
      <c r="L78" s="1064">
        <v>320462781.375</v>
      </c>
      <c r="M78" s="1045">
        <v>256370225.09999999</v>
      </c>
      <c r="N78" s="1045">
        <v>179871104.61000001</v>
      </c>
      <c r="O78" s="1050"/>
      <c r="P78" s="1050"/>
      <c r="Q78" s="1050">
        <v>441973.72</v>
      </c>
      <c r="R78" s="1050">
        <v>441973.72</v>
      </c>
      <c r="S78" s="1050">
        <v>441973.72</v>
      </c>
    </row>
    <row r="79" spans="1:19" ht="13.5" customHeight="1" x14ac:dyDescent="0.2">
      <c r="A79" s="1069" t="s">
        <v>1690</v>
      </c>
      <c r="B79" s="1069" t="s">
        <v>1691</v>
      </c>
      <c r="C79" s="1069" t="s">
        <v>1688</v>
      </c>
      <c r="D79" s="1069" t="s">
        <v>1692</v>
      </c>
      <c r="E79" s="1069" t="s">
        <v>1693</v>
      </c>
      <c r="F79" s="1061" t="s">
        <v>1683</v>
      </c>
      <c r="G79" s="1065">
        <v>57</v>
      </c>
      <c r="H79" s="1274" t="s">
        <v>1694</v>
      </c>
      <c r="I79" s="1060">
        <f>(L79/7.6)</f>
        <v>54399174.342105262</v>
      </c>
      <c r="J79" s="1060">
        <f>(M79/7.6)</f>
        <v>43519339.473684214</v>
      </c>
      <c r="K79" s="1060">
        <f>(N79/7.6)</f>
        <v>29932187.771052632</v>
      </c>
      <c r="L79" s="1280">
        <v>413433725</v>
      </c>
      <c r="M79" s="1280">
        <v>330746980</v>
      </c>
      <c r="N79" s="1271">
        <v>227484627.06</v>
      </c>
      <c r="O79" s="1050"/>
      <c r="P79" s="1050"/>
      <c r="Q79" s="1050">
        <v>424597.83</v>
      </c>
      <c r="R79" s="1063">
        <v>424597.83</v>
      </c>
      <c r="S79" s="1050">
        <v>424597.83</v>
      </c>
    </row>
    <row r="80" spans="1:19" ht="13.5" customHeight="1" x14ac:dyDescent="0.2">
      <c r="A80" s="1069" t="s">
        <v>1695</v>
      </c>
      <c r="B80" s="1069" t="s">
        <v>1696</v>
      </c>
      <c r="C80" s="1069" t="s">
        <v>1697</v>
      </c>
      <c r="D80" s="1069" t="s">
        <v>1590</v>
      </c>
      <c r="E80" s="1069" t="s">
        <v>1698</v>
      </c>
      <c r="F80" s="1061" t="s">
        <v>1699</v>
      </c>
      <c r="G80" s="1065">
        <v>58</v>
      </c>
      <c r="H80" s="1274" t="s">
        <v>1700</v>
      </c>
      <c r="I80" s="1060">
        <f t="shared" ref="I80:K82" si="9">L80/7.6</f>
        <v>47088222.861842111</v>
      </c>
      <c r="J80" s="1060">
        <f t="shared" si="9"/>
        <v>37670578.289473683</v>
      </c>
      <c r="K80" s="1060">
        <f t="shared" si="9"/>
        <v>24838263.042105265</v>
      </c>
      <c r="L80" s="1045">
        <v>357870493.75</v>
      </c>
      <c r="M80" s="1045">
        <v>286296395</v>
      </c>
      <c r="N80" s="1045">
        <v>188770799.12</v>
      </c>
      <c r="O80" s="1050"/>
      <c r="P80" s="1050"/>
      <c r="Q80" s="1050">
        <v>299464.90000000002</v>
      </c>
      <c r="R80" s="1050">
        <v>299464.90000000002</v>
      </c>
      <c r="S80" s="1050">
        <v>299464.90000000002</v>
      </c>
    </row>
    <row r="81" spans="1:25" ht="13.5" customHeight="1" x14ac:dyDescent="0.2">
      <c r="A81" s="1069" t="s">
        <v>1580</v>
      </c>
      <c r="B81" s="1069" t="s">
        <v>1701</v>
      </c>
      <c r="C81" s="1069" t="s">
        <v>1702</v>
      </c>
      <c r="D81" s="1069" t="s">
        <v>1590</v>
      </c>
      <c r="E81" s="1069" t="s">
        <v>1703</v>
      </c>
      <c r="F81" s="1061" t="s">
        <v>1704</v>
      </c>
      <c r="G81" s="1065">
        <v>59</v>
      </c>
      <c r="H81" s="1274" t="s">
        <v>1705</v>
      </c>
      <c r="I81" s="1060">
        <f t="shared" si="9"/>
        <v>28461703.947368421</v>
      </c>
      <c r="J81" s="1060">
        <f t="shared" si="9"/>
        <v>22769363.157894738</v>
      </c>
      <c r="K81" s="1060">
        <f t="shared" si="9"/>
        <v>15935017.214473685</v>
      </c>
      <c r="L81" s="1045">
        <v>216308950</v>
      </c>
      <c r="M81" s="1045">
        <v>173047160</v>
      </c>
      <c r="N81" s="1045">
        <v>121106130.83</v>
      </c>
      <c r="O81" s="1050"/>
      <c r="P81" s="1050"/>
      <c r="Q81" s="1050">
        <v>1294022.1100000001</v>
      </c>
      <c r="R81" s="1050">
        <v>1294022.1100000001</v>
      </c>
      <c r="S81" s="1050">
        <v>1294022.1100000001</v>
      </c>
    </row>
    <row r="82" spans="1:25" ht="25.5" customHeight="1" x14ac:dyDescent="0.2">
      <c r="A82" s="1069" t="s">
        <v>1706</v>
      </c>
      <c r="B82" s="1069" t="s">
        <v>1707</v>
      </c>
      <c r="C82" s="1069" t="s">
        <v>1708</v>
      </c>
      <c r="D82" s="1069" t="s">
        <v>1709</v>
      </c>
      <c r="E82" s="1045" t="s">
        <v>1710</v>
      </c>
      <c r="F82" s="1061" t="s">
        <v>1711</v>
      </c>
      <c r="G82" s="1065">
        <v>60</v>
      </c>
      <c r="H82" s="1274" t="s">
        <v>1712</v>
      </c>
      <c r="I82" s="1060">
        <f t="shared" si="9"/>
        <v>115948510.91184211</v>
      </c>
      <c r="J82" s="1060">
        <f t="shared" si="9"/>
        <v>85239501.228947371</v>
      </c>
      <c r="K82" s="1060">
        <f t="shared" si="9"/>
        <v>60216440.640789479</v>
      </c>
      <c r="L82" s="1064">
        <v>881208682.92999995</v>
      </c>
      <c r="M82" s="1064">
        <v>647820209.34000003</v>
      </c>
      <c r="N82" s="1064">
        <v>457644948.87</v>
      </c>
      <c r="O82" s="1050"/>
      <c r="P82" s="1050"/>
      <c r="Q82" s="1050"/>
      <c r="R82" s="1050"/>
      <c r="S82" s="1050"/>
      <c r="T82" s="1397"/>
      <c r="U82" s="1398"/>
      <c r="V82" s="1398"/>
      <c r="W82" s="1398"/>
      <c r="X82" s="1398"/>
    </row>
    <row r="83" spans="1:25" ht="15" x14ac:dyDescent="0.2">
      <c r="A83" s="1041"/>
      <c r="B83" s="1041"/>
      <c r="C83" s="1041"/>
      <c r="D83" s="1041"/>
      <c r="E83" s="1075"/>
      <c r="F83" s="1076"/>
      <c r="G83" s="1077"/>
      <c r="H83" s="1274" t="s">
        <v>294</v>
      </c>
      <c r="I83" s="1026">
        <f>SUM(I23:I82)</f>
        <v>3324828540.0118418</v>
      </c>
      <c r="J83" s="1026">
        <f t="shared" ref="J83:S83" si="10">SUM(J23:J82)</f>
        <v>2643863720.3684206</v>
      </c>
      <c r="K83" s="1026">
        <f t="shared" si="10"/>
        <v>1851972901.5960526</v>
      </c>
      <c r="L83" s="1026">
        <f t="shared" si="10"/>
        <v>25268696904.089996</v>
      </c>
      <c r="M83" s="1026">
        <f t="shared" si="10"/>
        <v>20093364274.799999</v>
      </c>
      <c r="N83" s="1026">
        <f t="shared" si="10"/>
        <v>14074994052.129999</v>
      </c>
      <c r="O83" s="1026">
        <f t="shared" si="10"/>
        <v>115581360.74000001</v>
      </c>
      <c r="P83" s="1026">
        <f t="shared" si="10"/>
        <v>39934058.470000006</v>
      </c>
      <c r="Q83" s="833">
        <f t="shared" si="10"/>
        <v>2384171614.0899997</v>
      </c>
      <c r="R83" s="833">
        <f t="shared" si="10"/>
        <v>2382916824.3599997</v>
      </c>
      <c r="S83" s="833">
        <f t="shared" si="10"/>
        <v>2422850882.8299994</v>
      </c>
      <c r="T83" s="1078">
        <f>R83/I7</f>
        <v>0.36915912082018904</v>
      </c>
      <c r="U83" s="1277"/>
    </row>
    <row r="84" spans="1:25" ht="15" x14ac:dyDescent="0.2">
      <c r="A84" s="829"/>
      <c r="B84" s="829"/>
      <c r="C84" s="829" t="s">
        <v>1713</v>
      </c>
      <c r="D84" s="829"/>
      <c r="E84" s="829"/>
      <c r="F84" s="1024"/>
      <c r="G84" s="1025"/>
      <c r="H84" s="1279"/>
      <c r="I84" s="1277"/>
      <c r="J84" s="1277"/>
      <c r="K84" s="1277"/>
      <c r="L84" s="1277"/>
      <c r="M84" s="1277"/>
      <c r="N84" s="1277"/>
      <c r="O84" s="1277"/>
      <c r="P84" s="1277"/>
      <c r="Q84" s="1078"/>
      <c r="R84" s="1277"/>
    </row>
    <row r="85" spans="1:25" ht="30" customHeight="1" x14ac:dyDescent="0.2">
      <c r="A85" s="829"/>
      <c r="B85" s="829"/>
      <c r="C85" s="829"/>
      <c r="D85" s="829"/>
      <c r="E85" s="829"/>
      <c r="F85" s="1024"/>
      <c r="G85" s="1025"/>
      <c r="H85" s="1399" t="s">
        <v>1714</v>
      </c>
      <c r="I85" s="1400"/>
      <c r="J85" s="1400"/>
      <c r="N85" s="1079"/>
    </row>
    <row r="86" spans="1:25" x14ac:dyDescent="0.2">
      <c r="A86" s="829"/>
      <c r="B86" s="829"/>
      <c r="C86" s="829"/>
      <c r="D86" s="829"/>
      <c r="E86" s="829"/>
      <c r="F86" s="1024" t="s">
        <v>1713</v>
      </c>
      <c r="G86" s="1025"/>
    </row>
    <row r="87" spans="1:25" ht="51" customHeight="1" x14ac:dyDescent="0.2">
      <c r="A87" s="1041" t="s">
        <v>1376</v>
      </c>
      <c r="B87" s="1041" t="s">
        <v>1377</v>
      </c>
      <c r="C87" s="1041" t="s">
        <v>1378</v>
      </c>
      <c r="D87" s="1041" t="s">
        <v>1379</v>
      </c>
      <c r="E87" s="1041" t="s">
        <v>1380</v>
      </c>
      <c r="F87" s="1061"/>
      <c r="G87" s="1065"/>
      <c r="H87" s="1274" t="s">
        <v>1382</v>
      </c>
      <c r="I87" s="1026" t="s">
        <v>1355</v>
      </c>
      <c r="J87" s="1026" t="s">
        <v>1356</v>
      </c>
      <c r="K87" s="1026" t="s">
        <v>1357</v>
      </c>
      <c r="L87" s="1274" t="s">
        <v>1358</v>
      </c>
      <c r="M87" s="1274" t="s">
        <v>1359</v>
      </c>
      <c r="N87" s="1274" t="s">
        <v>1360</v>
      </c>
      <c r="O87" s="1278" t="s">
        <v>75</v>
      </c>
    </row>
    <row r="88" spans="1:25" ht="19.5" customHeight="1" x14ac:dyDescent="0.2">
      <c r="A88" s="1285"/>
      <c r="B88" s="1285"/>
      <c r="C88" s="1285"/>
      <c r="D88" s="1285"/>
      <c r="E88" s="1285"/>
      <c r="F88" s="1061"/>
      <c r="G88" s="1065"/>
      <c r="H88" s="1080" t="s">
        <v>294</v>
      </c>
      <c r="I88" s="1081"/>
      <c r="J88" s="1081"/>
      <c r="K88" s="1081"/>
      <c r="L88" s="1081"/>
      <c r="M88" s="1081"/>
      <c r="N88" s="1081"/>
      <c r="O88" s="1082"/>
      <c r="P88" s="1277"/>
      <c r="Q88" s="1277"/>
      <c r="R88" s="1277"/>
      <c r="S88" s="1277"/>
      <c r="T88" s="1277"/>
    </row>
    <row r="89" spans="1:25" x14ac:dyDescent="0.2">
      <c r="A89" s="829"/>
      <c r="B89" s="829"/>
      <c r="C89" s="829"/>
      <c r="D89" s="829"/>
      <c r="E89" s="829"/>
      <c r="F89" s="1024"/>
      <c r="G89" s="1025"/>
      <c r="M89" s="1083"/>
      <c r="O89" s="829"/>
    </row>
    <row r="90" spans="1:25" s="831" customFormat="1" ht="15.75" x14ac:dyDescent="0.2">
      <c r="A90" s="1084"/>
      <c r="B90" s="1084"/>
      <c r="C90" s="1084"/>
      <c r="D90" s="1084"/>
      <c r="E90" s="1084"/>
      <c r="F90" s="1085"/>
      <c r="G90" s="1086"/>
      <c r="H90" s="1392" t="s">
        <v>1715</v>
      </c>
      <c r="I90" s="1392"/>
      <c r="J90" s="1392"/>
      <c r="K90" s="1392"/>
      <c r="L90" s="1392"/>
      <c r="M90" s="1392"/>
      <c r="N90" s="1392"/>
      <c r="O90" s="1392"/>
      <c r="P90" s="1392"/>
      <c r="Q90" s="1392"/>
      <c r="T90" s="1087"/>
      <c r="U90" s="1087"/>
      <c r="V90" s="1087"/>
      <c r="W90" s="1087"/>
    </row>
    <row r="91" spans="1:25" ht="18" customHeight="1" x14ac:dyDescent="0.2">
      <c r="A91" s="829"/>
      <c r="B91" s="829"/>
      <c r="C91" s="829"/>
      <c r="D91" s="829"/>
      <c r="E91" s="829"/>
      <c r="F91" s="1024"/>
      <c r="G91" s="1025"/>
      <c r="T91" s="1083"/>
      <c r="U91" s="1037"/>
      <c r="V91" s="1037"/>
      <c r="W91" s="1037"/>
    </row>
    <row r="92" spans="1:25" ht="71.25" customHeight="1" x14ac:dyDescent="0.2">
      <c r="A92" s="829"/>
      <c r="B92" s="829"/>
      <c r="C92" s="829"/>
      <c r="D92" s="829"/>
      <c r="E92" s="829"/>
      <c r="F92" s="1024"/>
      <c r="G92" s="1065"/>
      <c r="H92" s="1274" t="s">
        <v>1382</v>
      </c>
      <c r="I92" s="1027" t="s">
        <v>1376</v>
      </c>
      <c r="J92" s="1027" t="s">
        <v>1377</v>
      </c>
      <c r="K92" s="1027" t="s">
        <v>1378</v>
      </c>
      <c r="L92" s="1027" t="s">
        <v>1379</v>
      </c>
      <c r="M92" s="1027" t="s">
        <v>1716</v>
      </c>
      <c r="N92" s="1026" t="s">
        <v>1355</v>
      </c>
      <c r="O92" s="1026" t="s">
        <v>1356</v>
      </c>
      <c r="P92" s="1026" t="s">
        <v>1357</v>
      </c>
      <c r="Q92" s="1274" t="s">
        <v>1358</v>
      </c>
      <c r="R92" s="1274" t="s">
        <v>1359</v>
      </c>
      <c r="S92" s="1274" t="s">
        <v>1360</v>
      </c>
      <c r="T92" s="1402" t="s">
        <v>75</v>
      </c>
      <c r="U92" s="1402"/>
      <c r="V92" s="1402"/>
      <c r="W92" s="1402"/>
      <c r="X92" s="1402"/>
      <c r="Y92" s="1088"/>
    </row>
    <row r="93" spans="1:25" ht="269.25" customHeight="1" x14ac:dyDescent="0.2">
      <c r="A93" s="829"/>
      <c r="B93" s="829"/>
      <c r="C93" s="829"/>
      <c r="D93" s="829"/>
      <c r="E93" s="829"/>
      <c r="F93" s="1024"/>
      <c r="G93" s="1065">
        <v>1</v>
      </c>
      <c r="H93" s="1089" t="s">
        <v>1717</v>
      </c>
      <c r="I93" s="1069" t="s">
        <v>1718</v>
      </c>
      <c r="J93" s="1069" t="s">
        <v>1719</v>
      </c>
      <c r="K93" s="1069"/>
      <c r="L93" s="1069" t="s">
        <v>1720</v>
      </c>
      <c r="M93" s="1069"/>
      <c r="N93" s="1060">
        <f t="shared" ref="N93:P97" si="11">Q93/7.6</f>
        <v>56882230.777631588</v>
      </c>
      <c r="O93" s="1060">
        <f t="shared" si="11"/>
        <v>44730766.234210528</v>
      </c>
      <c r="P93" s="1060">
        <f t="shared" si="11"/>
        <v>30884581.200000003</v>
      </c>
      <c r="Q93" s="1064">
        <v>432304953.91000003</v>
      </c>
      <c r="R93" s="1090">
        <v>339953823.38</v>
      </c>
      <c r="S93" s="1090">
        <v>234722817.12</v>
      </c>
      <c r="T93" s="1403" t="s">
        <v>2003</v>
      </c>
      <c r="U93" s="1403"/>
      <c r="V93" s="1403"/>
      <c r="W93" s="1403"/>
      <c r="X93" s="1403"/>
    </row>
    <row r="94" spans="1:25" ht="222" customHeight="1" x14ac:dyDescent="0.2">
      <c r="A94" s="829"/>
      <c r="B94" s="829"/>
      <c r="C94" s="829"/>
      <c r="D94" s="829"/>
      <c r="E94" s="829"/>
      <c r="F94" s="1024"/>
      <c r="G94" s="1065">
        <v>2</v>
      </c>
      <c r="H94" s="1089" t="s">
        <v>1721</v>
      </c>
      <c r="I94" s="1069" t="s">
        <v>1722</v>
      </c>
      <c r="J94" s="1069" t="s">
        <v>2137</v>
      </c>
      <c r="K94" s="1069"/>
      <c r="L94" s="1069" t="s">
        <v>1723</v>
      </c>
      <c r="M94" s="1069"/>
      <c r="N94" s="1091">
        <f t="shared" si="11"/>
        <v>50971243.697368428</v>
      </c>
      <c r="O94" s="1091">
        <f t="shared" si="11"/>
        <v>40776994.957894742</v>
      </c>
      <c r="P94" s="1091">
        <f t="shared" si="11"/>
        <v>28155087.175000001</v>
      </c>
      <c r="Q94" s="1092">
        <v>387381452.10000002</v>
      </c>
      <c r="R94" s="1092">
        <v>309905161.68000001</v>
      </c>
      <c r="S94" s="1092">
        <v>213978662.53</v>
      </c>
      <c r="T94" s="1403" t="s">
        <v>2134</v>
      </c>
      <c r="U94" s="1403"/>
      <c r="V94" s="1403"/>
      <c r="W94" s="1403"/>
      <c r="X94" s="1403"/>
    </row>
    <row r="95" spans="1:25" ht="67.5" customHeight="1" x14ac:dyDescent="0.2">
      <c r="A95" s="829"/>
      <c r="B95" s="829"/>
      <c r="C95" s="829"/>
      <c r="D95" s="829"/>
      <c r="E95" s="829"/>
      <c r="F95" s="1024"/>
      <c r="G95" s="1065">
        <v>3</v>
      </c>
      <c r="H95" s="1089" t="s">
        <v>1724</v>
      </c>
      <c r="I95" s="1069" t="s">
        <v>1674</v>
      </c>
      <c r="J95" s="1069" t="s">
        <v>2043</v>
      </c>
      <c r="K95" s="1069"/>
      <c r="L95" s="1069" t="s">
        <v>1590</v>
      </c>
      <c r="M95" s="1069"/>
      <c r="N95" s="1091">
        <f t="shared" si="11"/>
        <v>1264590.6578947369</v>
      </c>
      <c r="O95" s="1091">
        <f t="shared" si="11"/>
        <v>1264590.6578947369</v>
      </c>
      <c r="P95" s="1091">
        <f t="shared" si="11"/>
        <v>1074902.0592105265</v>
      </c>
      <c r="Q95" s="1092">
        <v>9610889</v>
      </c>
      <c r="R95" s="1092">
        <v>9610889</v>
      </c>
      <c r="S95" s="1092">
        <v>8169255.6500000004</v>
      </c>
      <c r="T95" s="1403" t="s">
        <v>2052</v>
      </c>
      <c r="U95" s="1403"/>
      <c r="V95" s="1403"/>
      <c r="W95" s="1403"/>
      <c r="X95" s="1403"/>
    </row>
    <row r="96" spans="1:25" ht="47.25" customHeight="1" x14ac:dyDescent="0.2">
      <c r="A96" s="829"/>
      <c r="B96" s="829"/>
      <c r="C96" s="829"/>
      <c r="D96" s="829"/>
      <c r="E96" s="829"/>
      <c r="F96" s="1024"/>
      <c r="G96" s="1065">
        <v>4</v>
      </c>
      <c r="H96" s="1089" t="s">
        <v>1725</v>
      </c>
      <c r="I96" s="1069" t="s">
        <v>1726</v>
      </c>
      <c r="J96" s="1069" t="s">
        <v>1727</v>
      </c>
      <c r="K96" s="1069"/>
      <c r="L96" s="1069" t="s">
        <v>1728</v>
      </c>
      <c r="M96" s="1069"/>
      <c r="N96" s="1091">
        <f t="shared" si="11"/>
        <v>93102836.361842111</v>
      </c>
      <c r="O96" s="1091">
        <f t="shared" si="11"/>
        <v>74482269.089473695</v>
      </c>
      <c r="P96" s="1091">
        <f t="shared" si="11"/>
        <v>52301449.353947364</v>
      </c>
      <c r="Q96" s="1093">
        <v>707581556.35000002</v>
      </c>
      <c r="R96" s="1093">
        <v>566065245.08000004</v>
      </c>
      <c r="S96" s="1093">
        <v>397491015.08999997</v>
      </c>
      <c r="T96" s="1403" t="s">
        <v>2004</v>
      </c>
      <c r="U96" s="1403"/>
      <c r="V96" s="1403"/>
      <c r="W96" s="1403"/>
      <c r="X96" s="1403"/>
    </row>
    <row r="97" spans="1:24" ht="143.25" customHeight="1" x14ac:dyDescent="0.2">
      <c r="A97" s="829"/>
      <c r="B97" s="829"/>
      <c r="C97" s="829"/>
      <c r="D97" s="829"/>
      <c r="E97" s="829"/>
      <c r="F97" s="1024"/>
      <c r="G97" s="1065">
        <v>5</v>
      </c>
      <c r="H97" s="1089" t="s">
        <v>1729</v>
      </c>
      <c r="I97" s="1069" t="s">
        <v>1730</v>
      </c>
      <c r="J97" s="1069" t="s">
        <v>2136</v>
      </c>
      <c r="K97" s="1069"/>
      <c r="L97" s="1069" t="s">
        <v>1731</v>
      </c>
      <c r="M97" s="1069"/>
      <c r="N97" s="1094">
        <f t="shared" si="11"/>
        <v>80030632.796052635</v>
      </c>
      <c r="O97" s="1094">
        <f t="shared" si="11"/>
        <v>64024506.236842103</v>
      </c>
      <c r="P97" s="1094">
        <f t="shared" si="11"/>
        <v>44217369.889473692</v>
      </c>
      <c r="Q97" s="1045">
        <v>608232809.25</v>
      </c>
      <c r="R97" s="1045">
        <v>486586247.39999998</v>
      </c>
      <c r="S97" s="1045">
        <v>336052011.16000003</v>
      </c>
      <c r="T97" s="1403" t="s">
        <v>2135</v>
      </c>
      <c r="U97" s="1403"/>
      <c r="V97" s="1403"/>
      <c r="W97" s="1403"/>
      <c r="X97" s="1403"/>
    </row>
    <row r="98" spans="1:24" s="831" customFormat="1" ht="25.5" customHeight="1" x14ac:dyDescent="0.2">
      <c r="A98" s="1084"/>
      <c r="B98" s="1084"/>
      <c r="C98" s="1084"/>
      <c r="D98" s="1084"/>
      <c r="E98" s="1084"/>
      <c r="F98" s="1085"/>
      <c r="G98" s="1095"/>
      <c r="H98" s="1096" t="s">
        <v>294</v>
      </c>
      <c r="I98" s="1097"/>
      <c r="J98" s="1097"/>
      <c r="K98" s="1097"/>
      <c r="L98" s="1097"/>
      <c r="M98" s="1097"/>
      <c r="N98" s="1098">
        <f t="shared" ref="N98:S98" si="12">SUM(N93:N97)</f>
        <v>282251534.29078948</v>
      </c>
      <c r="O98" s="1098">
        <f t="shared" si="12"/>
        <v>225279127.17631578</v>
      </c>
      <c r="P98" s="1098">
        <f t="shared" si="12"/>
        <v>156633389.67763156</v>
      </c>
      <c r="Q98" s="1098">
        <f t="shared" si="12"/>
        <v>2145111660.6100001</v>
      </c>
      <c r="R98" s="1098">
        <f t="shared" si="12"/>
        <v>1712121366.54</v>
      </c>
      <c r="S98" s="1098">
        <f t="shared" si="12"/>
        <v>1190413761.55</v>
      </c>
      <c r="T98" s="1404"/>
      <c r="U98" s="1404"/>
      <c r="V98" s="1404"/>
      <c r="W98" s="1404"/>
      <c r="X98" s="1404"/>
    </row>
    <row r="99" spans="1:24" ht="21.75" customHeight="1" x14ac:dyDescent="0.2">
      <c r="A99" s="829"/>
      <c r="B99" s="829"/>
      <c r="C99" s="829"/>
      <c r="D99" s="829"/>
      <c r="E99" s="829"/>
      <c r="F99" s="1024"/>
      <c r="G99" s="1025"/>
      <c r="K99" s="830" t="s">
        <v>1713</v>
      </c>
      <c r="U99" s="1083"/>
      <c r="V99" s="1083"/>
      <c r="W99" s="1083"/>
    </row>
    <row r="100" spans="1:24" ht="63.75" x14ac:dyDescent="0.2">
      <c r="A100" s="829"/>
      <c r="B100" s="829"/>
      <c r="C100" s="829"/>
      <c r="D100" s="829"/>
      <c r="E100" s="829"/>
      <c r="F100" s="1024"/>
      <c r="G100" s="1025"/>
      <c r="H100" s="1274" t="s">
        <v>1382</v>
      </c>
      <c r="I100" s="1027" t="s">
        <v>1376</v>
      </c>
      <c r="J100" s="1027" t="s">
        <v>1377</v>
      </c>
      <c r="K100" s="1027" t="s">
        <v>1378</v>
      </c>
      <c r="L100" s="1027" t="s">
        <v>1379</v>
      </c>
      <c r="M100" s="1027" t="s">
        <v>1716</v>
      </c>
      <c r="N100" s="1026" t="s">
        <v>1355</v>
      </c>
      <c r="O100" s="1026" t="s">
        <v>1356</v>
      </c>
      <c r="P100" s="1026" t="s">
        <v>1357</v>
      </c>
      <c r="Q100" s="1274" t="s">
        <v>1358</v>
      </c>
      <c r="R100" s="1274" t="s">
        <v>1359</v>
      </c>
      <c r="S100" s="1274" t="s">
        <v>1360</v>
      </c>
      <c r="T100" s="1405"/>
      <c r="U100" s="1405"/>
      <c r="V100" s="1083"/>
      <c r="W100" s="1083"/>
    </row>
    <row r="101" spans="1:24" ht="72.75" customHeight="1" x14ac:dyDescent="0.2">
      <c r="A101" s="829"/>
      <c r="B101" s="829"/>
      <c r="C101" s="829"/>
      <c r="D101" s="829"/>
      <c r="E101" s="829"/>
      <c r="F101" s="1024"/>
      <c r="G101" s="1065">
        <v>1</v>
      </c>
      <c r="H101" s="1089" t="s">
        <v>1732</v>
      </c>
      <c r="I101" s="1069" t="s">
        <v>1733</v>
      </c>
      <c r="J101" s="1069"/>
      <c r="K101" s="1069"/>
      <c r="L101" s="1069"/>
      <c r="M101" s="1069"/>
      <c r="N101" s="1091">
        <f>Q101/7.6</f>
        <v>83881578.947368428</v>
      </c>
      <c r="O101" s="1091">
        <f>R101/7.6</f>
        <v>67105263.157894738</v>
      </c>
      <c r="P101" s="1091">
        <f>S101/7.6</f>
        <v>57039473.684210531</v>
      </c>
      <c r="Q101" s="1092">
        <f>R101*1.25</f>
        <v>637500000</v>
      </c>
      <c r="R101" s="1092">
        <v>510000000</v>
      </c>
      <c r="S101" s="1092">
        <v>433500000</v>
      </c>
      <c r="T101" s="1403" t="s">
        <v>1734</v>
      </c>
      <c r="U101" s="1403"/>
      <c r="V101" s="1083"/>
      <c r="W101" s="1083"/>
    </row>
    <row r="102" spans="1:24" ht="21.75" customHeight="1" x14ac:dyDescent="0.2">
      <c r="A102" s="829"/>
      <c r="B102" s="829"/>
      <c r="C102" s="829"/>
      <c r="D102" s="829"/>
      <c r="E102" s="829"/>
      <c r="F102" s="1024"/>
      <c r="G102" s="1025"/>
      <c r="U102" s="1083"/>
      <c r="V102" s="1083"/>
      <c r="W102" s="1083"/>
    </row>
    <row r="103" spans="1:24" ht="15.75" x14ac:dyDescent="0.2">
      <c r="A103" s="829"/>
      <c r="B103" s="829"/>
      <c r="C103" s="829"/>
      <c r="D103" s="829"/>
      <c r="E103" s="829"/>
      <c r="F103" s="1024"/>
      <c r="G103" s="1025"/>
      <c r="H103" s="1406" t="s">
        <v>1735</v>
      </c>
      <c r="I103" s="1406"/>
      <c r="J103" s="1406"/>
      <c r="N103" s="1037"/>
      <c r="O103" s="1099"/>
      <c r="P103" s="1099"/>
      <c r="Q103" s="1099"/>
      <c r="T103" s="1083"/>
      <c r="U103" s="1039"/>
      <c r="V103" s="1039"/>
      <c r="W103" s="1083"/>
    </row>
    <row r="104" spans="1:24" ht="15.75" x14ac:dyDescent="0.2">
      <c r="A104" s="829"/>
      <c r="B104" s="829"/>
      <c r="C104" s="829"/>
      <c r="D104" s="829"/>
      <c r="E104" s="829"/>
      <c r="F104" s="1024"/>
      <c r="G104" s="1025"/>
      <c r="H104" s="1281"/>
      <c r="I104" s="1281"/>
      <c r="J104" s="1281"/>
      <c r="N104" s="1037"/>
      <c r="O104" s="1099"/>
      <c r="P104" s="1099"/>
      <c r="Q104" s="1099"/>
      <c r="T104" s="1083"/>
      <c r="U104" s="1039"/>
      <c r="V104" s="1039"/>
      <c r="W104" s="1083"/>
    </row>
    <row r="105" spans="1:24" ht="58.5" customHeight="1" x14ac:dyDescent="0.2">
      <c r="A105" s="829"/>
      <c r="B105" s="829"/>
      <c r="C105" s="829"/>
      <c r="D105" s="829"/>
      <c r="E105" s="829"/>
      <c r="F105" s="1024"/>
      <c r="G105" s="1025"/>
      <c r="H105" s="1281"/>
      <c r="I105" s="1281"/>
      <c r="J105" s="1281"/>
      <c r="K105" s="1026" t="s">
        <v>1355</v>
      </c>
      <c r="L105" s="1026" t="s">
        <v>1356</v>
      </c>
      <c r="M105" s="1026" t="s">
        <v>1357</v>
      </c>
      <c r="N105" s="1274" t="s">
        <v>1358</v>
      </c>
      <c r="O105" s="1274" t="s">
        <v>1359</v>
      </c>
      <c r="P105" s="1274" t="s">
        <v>1360</v>
      </c>
      <c r="Q105" s="1099"/>
      <c r="T105" s="1083"/>
      <c r="U105" s="1039"/>
      <c r="V105" s="1039"/>
      <c r="W105" s="1083"/>
    </row>
    <row r="106" spans="1:24" ht="15.75" x14ac:dyDescent="0.2">
      <c r="A106" s="829"/>
      <c r="B106" s="829"/>
      <c r="C106" s="829"/>
      <c r="D106" s="829"/>
      <c r="E106" s="829"/>
      <c r="F106" s="1024"/>
      <c r="G106" s="1025"/>
      <c r="H106" s="1407" t="s">
        <v>1736</v>
      </c>
      <c r="I106" s="1407"/>
      <c r="J106" s="1407"/>
      <c r="K106" s="1100">
        <f>L106*1.25</f>
        <v>133928571.42857143</v>
      </c>
      <c r="L106" s="1100">
        <f>M106/0.7</f>
        <v>107142857.14285715</v>
      </c>
      <c r="M106" s="1100">
        <v>75000000</v>
      </c>
      <c r="N106" s="1274">
        <f>K106*7.6</f>
        <v>1017857142.8571428</v>
      </c>
      <c r="O106" s="1101">
        <f>L106*7.6</f>
        <v>814285714.28571427</v>
      </c>
      <c r="P106" s="1101">
        <f>M106*7.6</f>
        <v>570000000</v>
      </c>
      <c r="Q106" s="1099"/>
      <c r="T106" s="1083"/>
      <c r="U106" s="1039"/>
      <c r="V106" s="1039"/>
      <c r="W106" s="1083"/>
    </row>
    <row r="107" spans="1:24" ht="15.75" x14ac:dyDescent="0.2">
      <c r="A107" s="829"/>
      <c r="B107" s="829"/>
      <c r="C107" s="829"/>
      <c r="D107" s="829"/>
      <c r="E107" s="829"/>
      <c r="F107" s="1024"/>
      <c r="G107" s="1025"/>
      <c r="H107" s="1281"/>
      <c r="I107" s="1281"/>
      <c r="J107" s="1281"/>
      <c r="N107" s="1037"/>
      <c r="O107" s="1099"/>
      <c r="P107" s="1099"/>
      <c r="Q107" s="1099"/>
      <c r="T107" s="1083"/>
      <c r="U107" s="1039"/>
      <c r="V107" s="1039"/>
      <c r="W107" s="1083"/>
    </row>
    <row r="108" spans="1:24" ht="15.75" x14ac:dyDescent="0.2">
      <c r="A108" s="829"/>
      <c r="B108" s="829"/>
      <c r="C108" s="829"/>
      <c r="D108" s="829"/>
      <c r="E108" s="829"/>
      <c r="F108" s="1024"/>
      <c r="G108" s="1025"/>
      <c r="H108" s="1281"/>
      <c r="I108" s="1281"/>
      <c r="J108" s="1281"/>
      <c r="N108" s="1037"/>
      <c r="O108" s="1099"/>
      <c r="P108" s="1099"/>
      <c r="Q108" s="1099"/>
      <c r="T108" s="1083"/>
      <c r="U108" s="1039"/>
      <c r="V108" s="1039"/>
      <c r="W108" s="1083"/>
    </row>
    <row r="109" spans="1:24" x14ac:dyDescent="0.2">
      <c r="A109" s="829"/>
      <c r="B109" s="829"/>
      <c r="C109" s="829"/>
      <c r="D109" s="829"/>
      <c r="E109" s="829"/>
      <c r="F109" s="1024"/>
      <c r="G109" s="1025"/>
      <c r="K109" s="1401" t="s">
        <v>1737</v>
      </c>
      <c r="L109" s="1401"/>
      <c r="M109" s="1401"/>
      <c r="N109" s="1410" t="s">
        <v>1738</v>
      </c>
      <c r="O109" s="1410"/>
      <c r="P109" s="1410"/>
      <c r="Q109" s="1401" t="s">
        <v>1739</v>
      </c>
      <c r="R109" s="1401"/>
      <c r="S109" s="1401"/>
      <c r="T109" s="1083"/>
      <c r="U109" s="1083"/>
      <c r="V109" s="1083"/>
      <c r="W109" s="1083"/>
    </row>
    <row r="110" spans="1:24" ht="38.25" x14ac:dyDescent="0.2">
      <c r="A110" s="829"/>
      <c r="B110" s="829"/>
      <c r="C110" s="829"/>
      <c r="D110" s="829"/>
      <c r="E110" s="829"/>
      <c r="F110" s="1024"/>
      <c r="G110" s="1065"/>
      <c r="H110" s="1274" t="s">
        <v>1382</v>
      </c>
      <c r="I110" s="1034" t="s">
        <v>1740</v>
      </c>
      <c r="J110" s="1034" t="s">
        <v>1741</v>
      </c>
      <c r="K110" s="1026" t="s">
        <v>1358</v>
      </c>
      <c r="L110" s="1026" t="s">
        <v>1359</v>
      </c>
      <c r="M110" s="1026" t="s">
        <v>1360</v>
      </c>
      <c r="N110" s="1274" t="s">
        <v>1358</v>
      </c>
      <c r="O110" s="1274" t="s">
        <v>1359</v>
      </c>
      <c r="P110" s="1274" t="s">
        <v>1360</v>
      </c>
      <c r="Q110" s="1274" t="s">
        <v>1358</v>
      </c>
      <c r="R110" s="1274" t="s">
        <v>1359</v>
      </c>
      <c r="S110" s="1274" t="s">
        <v>1360</v>
      </c>
      <c r="T110" s="1408" t="s">
        <v>75</v>
      </c>
      <c r="U110" s="1408"/>
      <c r="V110" s="1408"/>
      <c r="W110" s="1083"/>
    </row>
    <row r="111" spans="1:24" ht="33.75" customHeight="1" x14ac:dyDescent="0.2">
      <c r="A111" s="829"/>
      <c r="B111" s="829"/>
      <c r="C111" s="829"/>
      <c r="D111" s="829"/>
      <c r="E111" s="829"/>
      <c r="F111" s="1024"/>
      <c r="G111" s="1065">
        <v>1</v>
      </c>
      <c r="H111" s="1102" t="s">
        <v>1510</v>
      </c>
      <c r="I111" s="1280"/>
      <c r="J111" s="1280"/>
      <c r="K111" s="1060">
        <f>L49</f>
        <v>883885327</v>
      </c>
      <c r="L111" s="1060">
        <f>M49</f>
        <v>707108262</v>
      </c>
      <c r="M111" s="1060">
        <f>N49</f>
        <v>483953845</v>
      </c>
      <c r="N111" s="1285">
        <f t="shared" ref="N111:N119" si="13">O111*1.25</f>
        <v>1087081364.1875</v>
      </c>
      <c r="O111" s="1285">
        <v>869665091.35000002</v>
      </c>
      <c r="P111" s="1285">
        <v>595209796.63098431</v>
      </c>
      <c r="Q111" s="1285"/>
      <c r="R111" s="1285"/>
      <c r="S111" s="1285"/>
      <c r="T111" s="1408"/>
      <c r="U111" s="1408"/>
      <c r="V111" s="1408"/>
    </row>
    <row r="112" spans="1:24" ht="29.25" customHeight="1" x14ac:dyDescent="0.2">
      <c r="A112" s="1062"/>
      <c r="B112" s="1062"/>
      <c r="C112" s="1062"/>
      <c r="D112" s="1062"/>
      <c r="E112" s="1062"/>
      <c r="F112" s="1061"/>
      <c r="G112" s="1065">
        <v>2</v>
      </c>
      <c r="H112" s="1102" t="s">
        <v>1531</v>
      </c>
      <c r="I112" s="1280"/>
      <c r="J112" s="1280"/>
      <c r="K112" s="1060">
        <f>L52</f>
        <v>2201954328</v>
      </c>
      <c r="L112" s="1060">
        <f>M52</f>
        <v>1761563462</v>
      </c>
      <c r="M112" s="1060">
        <f>N52</f>
        <v>1256548480</v>
      </c>
      <c r="N112" s="1285">
        <f t="shared" si="13"/>
        <v>2686682607.8125</v>
      </c>
      <c r="O112" s="1285">
        <v>2149346086.25</v>
      </c>
      <c r="P112" s="1285">
        <v>1533159387.094348</v>
      </c>
      <c r="Q112" s="1285"/>
      <c r="R112" s="1285"/>
      <c r="S112" s="1285"/>
      <c r="T112" s="1408"/>
      <c r="U112" s="1408"/>
      <c r="V112" s="1408"/>
    </row>
    <row r="113" spans="1:22" ht="29.25" customHeight="1" x14ac:dyDescent="0.2">
      <c r="A113" s="1062"/>
      <c r="B113" s="1062"/>
      <c r="C113" s="1062"/>
      <c r="D113" s="1062"/>
      <c r="E113" s="1062"/>
      <c r="F113" s="1061"/>
      <c r="G113" s="1065">
        <v>3</v>
      </c>
      <c r="H113" s="1102" t="s">
        <v>1498</v>
      </c>
      <c r="I113" s="1280"/>
      <c r="J113" s="1280"/>
      <c r="K113" s="1060">
        <f>L47</f>
        <v>498612651</v>
      </c>
      <c r="L113" s="1060">
        <f>M47</f>
        <v>398890121</v>
      </c>
      <c r="M113" s="1060">
        <f>N47</f>
        <v>268788163</v>
      </c>
      <c r="N113" s="1285">
        <f t="shared" si="13"/>
        <v>669284290.98750007</v>
      </c>
      <c r="O113" s="1285">
        <v>535427432.79000002</v>
      </c>
      <c r="P113" s="1285">
        <v>360792480.15520138</v>
      </c>
      <c r="Q113" s="1285"/>
      <c r="R113" s="1285"/>
      <c r="S113" s="1285"/>
      <c r="T113" s="1408" t="s">
        <v>2063</v>
      </c>
      <c r="U113" s="1408"/>
      <c r="V113" s="1408"/>
    </row>
    <row r="114" spans="1:22" ht="29.25" customHeight="1" x14ac:dyDescent="0.2">
      <c r="A114" s="1062"/>
      <c r="B114" s="1062"/>
      <c r="C114" s="1062"/>
      <c r="D114" s="1062"/>
      <c r="E114" s="1062"/>
      <c r="F114" s="1061"/>
      <c r="G114" s="1065">
        <v>4</v>
      </c>
      <c r="H114" s="1102" t="s">
        <v>1742</v>
      </c>
      <c r="I114" s="1280"/>
      <c r="J114" s="1280"/>
      <c r="K114" s="1060">
        <f>L50</f>
        <v>598099185.26249993</v>
      </c>
      <c r="L114" s="1060">
        <f>M50</f>
        <v>478479348.20999998</v>
      </c>
      <c r="M114" s="1060">
        <f>N50</f>
        <v>321355962.44</v>
      </c>
      <c r="N114" s="1285">
        <f t="shared" si="13"/>
        <v>726498959.35374987</v>
      </c>
      <c r="O114" s="1285">
        <v>581199167.48299992</v>
      </c>
      <c r="P114" s="1285">
        <v>390344574.38167554</v>
      </c>
      <c r="Q114" s="1285"/>
      <c r="R114" s="1285"/>
      <c r="S114" s="1285"/>
      <c r="T114" s="1408" t="s">
        <v>2064</v>
      </c>
      <c r="U114" s="1408"/>
      <c r="V114" s="1408"/>
    </row>
    <row r="115" spans="1:22" ht="29.25" customHeight="1" x14ac:dyDescent="0.2">
      <c r="A115" s="1062"/>
      <c r="B115" s="1062"/>
      <c r="C115" s="1062"/>
      <c r="D115" s="1062"/>
      <c r="E115" s="1062"/>
      <c r="F115" s="1061"/>
      <c r="G115" s="1065">
        <v>5</v>
      </c>
      <c r="H115" s="1102" t="s">
        <v>1544</v>
      </c>
      <c r="I115" s="1280"/>
      <c r="J115" s="1280"/>
      <c r="K115" s="1060">
        <f>L54</f>
        <v>556694338.33000004</v>
      </c>
      <c r="L115" s="1060">
        <f>M54</f>
        <v>445355470.66000003</v>
      </c>
      <c r="M115" s="1060">
        <f>N54</f>
        <v>316810294.38999999</v>
      </c>
      <c r="N115" s="1285">
        <f t="shared" si="13"/>
        <v>683767168.78250003</v>
      </c>
      <c r="O115" s="1285">
        <v>547013735.02600002</v>
      </c>
      <c r="P115" s="1285">
        <v>389145571.09749645</v>
      </c>
      <c r="Q115" s="1285"/>
      <c r="R115" s="1285"/>
      <c r="S115" s="1285"/>
      <c r="T115" s="1408" t="s">
        <v>2065</v>
      </c>
      <c r="U115" s="1408"/>
      <c r="V115" s="1408"/>
    </row>
    <row r="116" spans="1:22" ht="33" customHeight="1" x14ac:dyDescent="0.2">
      <c r="A116" s="1062"/>
      <c r="B116" s="1062"/>
      <c r="C116" s="1062"/>
      <c r="D116" s="1062"/>
      <c r="E116" s="1062"/>
      <c r="F116" s="1061"/>
      <c r="G116" s="1065">
        <v>6</v>
      </c>
      <c r="H116" s="1102" t="s">
        <v>1483</v>
      </c>
      <c r="I116" s="1280"/>
      <c r="J116" s="1280"/>
      <c r="K116" s="1060">
        <f>L44</f>
        <v>480701190.13999999</v>
      </c>
      <c r="L116" s="1060">
        <f>M44</f>
        <v>384560952.11000001</v>
      </c>
      <c r="M116" s="1060">
        <f>N44</f>
        <v>272134035</v>
      </c>
      <c r="N116" s="1285">
        <f t="shared" si="13"/>
        <v>506347632.59375</v>
      </c>
      <c r="O116" s="1285">
        <v>405078106.07499999</v>
      </c>
      <c r="P116" s="1285">
        <v>286652971.11292762</v>
      </c>
      <c r="Q116" s="1285"/>
      <c r="R116" s="1285"/>
      <c r="S116" s="1285"/>
      <c r="T116" s="1409" t="s">
        <v>2139</v>
      </c>
      <c r="U116" s="1409"/>
      <c r="V116" s="1409"/>
    </row>
    <row r="117" spans="1:22" x14ac:dyDescent="0.2">
      <c r="A117" s="1062"/>
      <c r="B117" s="1062"/>
      <c r="C117" s="1062"/>
      <c r="D117" s="1062"/>
      <c r="E117" s="1062"/>
      <c r="F117" s="1061"/>
      <c r="G117" s="1065">
        <v>7</v>
      </c>
      <c r="H117" s="1102" t="s">
        <v>1504</v>
      </c>
      <c r="I117" s="1280"/>
      <c r="J117" s="1280"/>
      <c r="K117" s="1060">
        <f>L48</f>
        <v>496281362.5</v>
      </c>
      <c r="L117" s="1060">
        <f>M48</f>
        <v>397025090</v>
      </c>
      <c r="M117" s="1060">
        <f>N48</f>
        <v>272004105.51999998</v>
      </c>
      <c r="N117" s="1285">
        <f t="shared" si="13"/>
        <v>575744802.61249995</v>
      </c>
      <c r="O117" s="1285">
        <v>460595842.08999997</v>
      </c>
      <c r="P117" s="1285">
        <v>315556782.66190898</v>
      </c>
      <c r="Q117" s="1285"/>
      <c r="R117" s="1285"/>
      <c r="S117" s="1285"/>
      <c r="T117" s="1408"/>
      <c r="U117" s="1408"/>
      <c r="V117" s="1408"/>
    </row>
    <row r="118" spans="1:22" x14ac:dyDescent="0.2">
      <c r="A118" s="1062"/>
      <c r="B118" s="1062"/>
      <c r="C118" s="1062"/>
      <c r="D118" s="1062"/>
      <c r="E118" s="1062"/>
      <c r="F118" s="1061"/>
      <c r="G118" s="1065">
        <v>8</v>
      </c>
      <c r="H118" s="1102" t="s">
        <v>1445</v>
      </c>
      <c r="I118" s="1280"/>
      <c r="J118" s="1280"/>
      <c r="K118" s="1060">
        <f t="shared" ref="K118:M120" si="14">L35</f>
        <v>217793095</v>
      </c>
      <c r="L118" s="1060">
        <f t="shared" si="14"/>
        <v>173079910</v>
      </c>
      <c r="M118" s="1060">
        <f t="shared" si="14"/>
        <v>121542125</v>
      </c>
      <c r="N118" s="1285">
        <f t="shared" si="13"/>
        <v>229177950.13750002</v>
      </c>
      <c r="O118" s="1285">
        <v>183342360.11000001</v>
      </c>
      <c r="P118" s="1285">
        <v>128748738.37341744</v>
      </c>
      <c r="Q118" s="1285"/>
      <c r="R118" s="1285"/>
      <c r="S118" s="1285"/>
      <c r="T118" s="1408"/>
      <c r="U118" s="1408"/>
      <c r="V118" s="1408"/>
    </row>
    <row r="119" spans="1:22" ht="115.5" customHeight="1" x14ac:dyDescent="0.2">
      <c r="A119" s="1062"/>
      <c r="B119" s="1062"/>
      <c r="C119" s="1062"/>
      <c r="D119" s="1062"/>
      <c r="E119" s="1062"/>
      <c r="F119" s="1061"/>
      <c r="G119" s="1065">
        <v>9</v>
      </c>
      <c r="H119" s="1102" t="s">
        <v>1450</v>
      </c>
      <c r="I119" s="1280"/>
      <c r="J119" s="1280"/>
      <c r="K119" s="1060">
        <f t="shared" si="14"/>
        <v>236350812.5</v>
      </c>
      <c r="L119" s="1060">
        <f t="shared" si="14"/>
        <v>189080650</v>
      </c>
      <c r="M119" s="1060">
        <f t="shared" si="14"/>
        <v>135652414.41</v>
      </c>
      <c r="N119" s="1285">
        <f t="shared" si="13"/>
        <v>311311053</v>
      </c>
      <c r="O119" s="1285">
        <v>249048842.40000001</v>
      </c>
      <c r="P119" s="1285">
        <v>176595443.09</v>
      </c>
      <c r="Q119" s="1285"/>
      <c r="R119" s="1285"/>
      <c r="S119" s="1285"/>
      <c r="T119" s="1408" t="s">
        <v>2128</v>
      </c>
      <c r="U119" s="1408"/>
      <c r="V119" s="1408"/>
    </row>
    <row r="120" spans="1:22" ht="57.75" customHeight="1" x14ac:dyDescent="0.2">
      <c r="A120" s="1062"/>
      <c r="B120" s="1062"/>
      <c r="C120" s="1062"/>
      <c r="D120" s="1062"/>
      <c r="E120" s="1062"/>
      <c r="F120" s="1061"/>
      <c r="G120" s="1065">
        <v>10</v>
      </c>
      <c r="H120" s="1103" t="s">
        <v>1452</v>
      </c>
      <c r="I120" s="1280" t="s">
        <v>1743</v>
      </c>
      <c r="J120" s="1280" t="s">
        <v>2005</v>
      </c>
      <c r="K120" s="1060">
        <f t="shared" si="14"/>
        <v>227221637.5</v>
      </c>
      <c r="L120" s="1060">
        <f t="shared" si="14"/>
        <v>181777310</v>
      </c>
      <c r="M120" s="1060">
        <f t="shared" si="14"/>
        <v>128773937.90000001</v>
      </c>
      <c r="N120" s="1278">
        <v>302959678.50999999</v>
      </c>
      <c r="O120" s="1278">
        <v>242367742.81</v>
      </c>
      <c r="P120" s="1278">
        <v>172639599.84999999</v>
      </c>
      <c r="Q120" s="1285">
        <f t="shared" ref="Q120:S132" si="15">N120-K120</f>
        <v>75738041.00999999</v>
      </c>
      <c r="R120" s="1285">
        <f t="shared" si="15"/>
        <v>60590432.810000002</v>
      </c>
      <c r="S120" s="1285">
        <f t="shared" si="15"/>
        <v>43865661.949999988</v>
      </c>
      <c r="T120" s="1408" t="s">
        <v>2006</v>
      </c>
      <c r="U120" s="1408"/>
      <c r="V120" s="1408"/>
    </row>
    <row r="121" spans="1:22" ht="42" customHeight="1" x14ac:dyDescent="0.2">
      <c r="A121" s="1062"/>
      <c r="B121" s="1062"/>
      <c r="C121" s="1062"/>
      <c r="D121" s="1062"/>
      <c r="E121" s="1062"/>
      <c r="F121" s="1061"/>
      <c r="G121" s="1065">
        <v>11</v>
      </c>
      <c r="H121" s="1103" t="s">
        <v>1439</v>
      </c>
      <c r="I121" s="1280" t="s">
        <v>1744</v>
      </c>
      <c r="J121" s="1280" t="s">
        <v>1704</v>
      </c>
      <c r="K121" s="1060">
        <f>L34</f>
        <v>62105903.75</v>
      </c>
      <c r="L121" s="1060">
        <f>M34</f>
        <v>49684723</v>
      </c>
      <c r="M121" s="1060">
        <f>N34</f>
        <v>35422661</v>
      </c>
      <c r="N121" s="1278">
        <v>70557709.709999993</v>
      </c>
      <c r="O121" s="1278">
        <v>56446167.759999998</v>
      </c>
      <c r="P121" s="1278">
        <v>40216201.149999999</v>
      </c>
      <c r="Q121" s="1285">
        <f t="shared" si="15"/>
        <v>8451805.9599999934</v>
      </c>
      <c r="R121" s="1285">
        <f t="shared" si="15"/>
        <v>6761444.7599999979</v>
      </c>
      <c r="S121" s="1285">
        <f t="shared" si="15"/>
        <v>4793540.1499999985</v>
      </c>
      <c r="T121" s="1408" t="s">
        <v>1745</v>
      </c>
      <c r="U121" s="1408"/>
      <c r="V121" s="1408"/>
    </row>
    <row r="122" spans="1:22" ht="63.75" customHeight="1" x14ac:dyDescent="0.2">
      <c r="A122" s="1062"/>
      <c r="B122" s="1062"/>
      <c r="C122" s="1062"/>
      <c r="D122" s="1062"/>
      <c r="E122" s="1062"/>
      <c r="F122" s="1061"/>
      <c r="G122" s="1065">
        <v>12</v>
      </c>
      <c r="H122" s="1102" t="s">
        <v>1491</v>
      </c>
      <c r="I122" s="1280"/>
      <c r="J122" s="1280"/>
      <c r="K122" s="1060">
        <f>L46</f>
        <v>397220098</v>
      </c>
      <c r="L122" s="1060">
        <f>M46</f>
        <v>317776078.39999998</v>
      </c>
      <c r="M122" s="1060">
        <f>N46</f>
        <v>224974341.34</v>
      </c>
      <c r="N122" s="1285">
        <f t="shared" ref="N122:N131" si="16">O122*1.25</f>
        <v>489296678.75</v>
      </c>
      <c r="O122" s="1285">
        <v>391437343</v>
      </c>
      <c r="P122" s="1285">
        <v>277123938.53150612</v>
      </c>
      <c r="Q122" s="1285"/>
      <c r="R122" s="1285"/>
      <c r="S122" s="1285"/>
      <c r="T122" s="1408" t="s">
        <v>2129</v>
      </c>
      <c r="U122" s="1408"/>
      <c r="V122" s="1408"/>
    </row>
    <row r="123" spans="1:22" x14ac:dyDescent="0.2">
      <c r="A123" s="1062"/>
      <c r="B123" s="1062"/>
      <c r="C123" s="1062"/>
      <c r="D123" s="1062"/>
      <c r="E123" s="1062"/>
      <c r="F123" s="1061"/>
      <c r="G123" s="1065">
        <v>13</v>
      </c>
      <c r="H123" s="1102" t="s">
        <v>1477</v>
      </c>
      <c r="I123" s="1280"/>
      <c r="J123" s="1280"/>
      <c r="K123" s="1060">
        <f t="shared" ref="K123:M124" si="17">L42</f>
        <v>217477781.13</v>
      </c>
      <c r="L123" s="1060">
        <f t="shared" si="17"/>
        <v>171777186.90000001</v>
      </c>
      <c r="M123" s="1060">
        <f t="shared" si="17"/>
        <v>124444841.93000001</v>
      </c>
      <c r="N123" s="1285">
        <f t="shared" si="16"/>
        <v>264213546.09375</v>
      </c>
      <c r="O123" s="1285">
        <v>211370836.875</v>
      </c>
      <c r="P123" s="1285">
        <v>153128659.62133875</v>
      </c>
      <c r="Q123" s="1285"/>
      <c r="R123" s="1285"/>
      <c r="S123" s="1285"/>
      <c r="T123" s="1408"/>
      <c r="U123" s="1408"/>
      <c r="V123" s="1408"/>
    </row>
    <row r="124" spans="1:22" ht="39" customHeight="1" x14ac:dyDescent="0.2">
      <c r="A124" s="1062"/>
      <c r="B124" s="1062"/>
      <c r="C124" s="1062"/>
      <c r="D124" s="1062"/>
      <c r="E124" s="1062"/>
      <c r="F124" s="1061"/>
      <c r="G124" s="1065">
        <v>14</v>
      </c>
      <c r="H124" s="1102" t="s">
        <v>1480</v>
      </c>
      <c r="I124" s="1280"/>
      <c r="J124" s="1280"/>
      <c r="K124" s="1060">
        <f t="shared" si="17"/>
        <v>176783490.13</v>
      </c>
      <c r="L124" s="1060">
        <f t="shared" si="17"/>
        <v>141426792.09999999</v>
      </c>
      <c r="M124" s="1060">
        <f t="shared" si="17"/>
        <v>99099103</v>
      </c>
      <c r="N124" s="1285">
        <f t="shared" si="16"/>
        <v>218011918.09375</v>
      </c>
      <c r="O124" s="1285">
        <v>174409534.47499999</v>
      </c>
      <c r="P124" s="1285">
        <v>122210425.36904205</v>
      </c>
      <c r="Q124" s="1285"/>
      <c r="R124" s="1285"/>
      <c r="S124" s="1285"/>
      <c r="T124" s="1409" t="s">
        <v>2132</v>
      </c>
      <c r="U124" s="1408"/>
      <c r="V124" s="1408"/>
    </row>
    <row r="125" spans="1:22" x14ac:dyDescent="0.2">
      <c r="A125" s="1062"/>
      <c r="B125" s="1062"/>
      <c r="C125" s="1062"/>
      <c r="D125" s="1062"/>
      <c r="E125" s="1062"/>
      <c r="F125" s="1061"/>
      <c r="G125" s="1065">
        <v>15</v>
      </c>
      <c r="H125" s="1102" t="s">
        <v>1486</v>
      </c>
      <c r="I125" s="1280"/>
      <c r="J125" s="1280"/>
      <c r="K125" s="1060">
        <f>L45</f>
        <v>386043735</v>
      </c>
      <c r="L125" s="1060">
        <f>M45</f>
        <v>271578968</v>
      </c>
      <c r="M125" s="1060">
        <f>N45</f>
        <v>189561114</v>
      </c>
      <c r="N125" s="1285">
        <f t="shared" si="16"/>
        <v>417040021.40625</v>
      </c>
      <c r="O125" s="1285">
        <v>333632017.125</v>
      </c>
      <c r="P125" s="1285">
        <v>232873912.50519103</v>
      </c>
      <c r="Q125" s="1285"/>
      <c r="R125" s="1285"/>
      <c r="S125" s="1285"/>
      <c r="T125" s="1408"/>
      <c r="U125" s="1408"/>
      <c r="V125" s="1408"/>
    </row>
    <row r="126" spans="1:22" ht="79.5" customHeight="1" x14ac:dyDescent="0.2">
      <c r="A126" s="1062"/>
      <c r="B126" s="1062"/>
      <c r="C126" s="1062"/>
      <c r="D126" s="1062"/>
      <c r="E126" s="1062"/>
      <c r="F126" s="1061"/>
      <c r="G126" s="1065">
        <v>16</v>
      </c>
      <c r="H126" s="1102" t="s">
        <v>1538</v>
      </c>
      <c r="I126" s="1280"/>
      <c r="J126" s="1280"/>
      <c r="K126" s="1060">
        <f>L53</f>
        <v>123631284.59999999</v>
      </c>
      <c r="L126" s="1060">
        <f>M53</f>
        <v>98905027.680000007</v>
      </c>
      <c r="M126" s="1060">
        <f>N53</f>
        <v>70105921.450000003</v>
      </c>
      <c r="N126" s="1285">
        <f t="shared" si="16"/>
        <v>151114105.7421875</v>
      </c>
      <c r="O126" s="1285">
        <v>120891284.59375</v>
      </c>
      <c r="P126" s="1285">
        <v>85690233.364077777</v>
      </c>
      <c r="Q126" s="1285"/>
      <c r="R126" s="1285"/>
      <c r="S126" s="1285"/>
      <c r="T126" s="1408" t="s">
        <v>2138</v>
      </c>
      <c r="U126" s="1408"/>
      <c r="V126" s="1408"/>
    </row>
    <row r="127" spans="1:22" x14ac:dyDescent="0.2">
      <c r="A127" s="1062"/>
      <c r="B127" s="1062"/>
      <c r="C127" s="1062"/>
      <c r="D127" s="1062"/>
      <c r="E127" s="1062"/>
      <c r="F127" s="1061"/>
      <c r="G127" s="1065">
        <v>17</v>
      </c>
      <c r="H127" s="1102" t="s">
        <v>1549</v>
      </c>
      <c r="I127" s="1280"/>
      <c r="J127" s="1280"/>
      <c r="K127" s="1060">
        <f>L55</f>
        <v>189229512.65000001</v>
      </c>
      <c r="L127" s="1060">
        <f>M55</f>
        <v>151383610.12</v>
      </c>
      <c r="M127" s="1060">
        <f>N55</f>
        <v>101532059.45</v>
      </c>
      <c r="N127" s="1285">
        <f t="shared" si="16"/>
        <v>230357851.14375001</v>
      </c>
      <c r="O127" s="1285">
        <v>184286280.91500002</v>
      </c>
      <c r="P127" s="1285">
        <v>123600808.6096905</v>
      </c>
      <c r="Q127" s="1285"/>
      <c r="R127" s="1285"/>
      <c r="S127" s="1285"/>
      <c r="T127" s="1408"/>
      <c r="U127" s="1408"/>
      <c r="V127" s="1408"/>
    </row>
    <row r="128" spans="1:22" x14ac:dyDescent="0.2">
      <c r="A128" s="1062"/>
      <c r="B128" s="1062"/>
      <c r="C128" s="1062"/>
      <c r="D128" s="1062"/>
      <c r="E128" s="1062"/>
      <c r="F128" s="1061"/>
      <c r="G128" s="1065">
        <v>18</v>
      </c>
      <c r="H128" s="1102" t="s">
        <v>1469</v>
      </c>
      <c r="I128" s="1280"/>
      <c r="J128" s="1280"/>
      <c r="K128" s="1060">
        <f>L40</f>
        <v>191933010.5</v>
      </c>
      <c r="L128" s="1060">
        <f>M40</f>
        <v>153546408.40000001</v>
      </c>
      <c r="M128" s="1060">
        <f>N40</f>
        <v>110389119.39</v>
      </c>
      <c r="N128" s="1285">
        <f t="shared" si="16"/>
        <v>235983409.0625</v>
      </c>
      <c r="O128" s="1285">
        <v>188786727.25</v>
      </c>
      <c r="P128" s="1285">
        <v>135724441.82059821</v>
      </c>
      <c r="Q128" s="1285"/>
      <c r="R128" s="1285"/>
      <c r="S128" s="1285"/>
      <c r="T128" s="1408"/>
      <c r="U128" s="1408"/>
      <c r="V128" s="1408"/>
    </row>
    <row r="129" spans="1:23" x14ac:dyDescent="0.2">
      <c r="A129" s="1062"/>
      <c r="B129" s="1062"/>
      <c r="C129" s="1062"/>
      <c r="D129" s="1062"/>
      <c r="E129" s="1062"/>
      <c r="F129" s="1061"/>
      <c r="G129" s="1065">
        <v>19</v>
      </c>
      <c r="H129" s="1102" t="s">
        <v>1524</v>
      </c>
      <c r="I129" s="1280"/>
      <c r="J129" s="1280"/>
      <c r="K129" s="1060">
        <f>L51</f>
        <v>155864266.25</v>
      </c>
      <c r="L129" s="1060">
        <f>M51</f>
        <v>124691413</v>
      </c>
      <c r="M129" s="1060">
        <f>N51</f>
        <v>85645395.609999999</v>
      </c>
      <c r="N129" s="1285">
        <f t="shared" si="16"/>
        <v>192086578.75</v>
      </c>
      <c r="O129" s="1285">
        <v>153669263</v>
      </c>
      <c r="P129" s="1285">
        <v>105549086.34472726</v>
      </c>
      <c r="Q129" s="1285"/>
      <c r="R129" s="1285"/>
      <c r="S129" s="1285"/>
      <c r="T129" s="1408"/>
      <c r="U129" s="1408"/>
      <c r="V129" s="1408"/>
    </row>
    <row r="130" spans="1:23" ht="25.5" x14ac:dyDescent="0.2">
      <c r="A130" s="1062"/>
      <c r="B130" s="1062"/>
      <c r="C130" s="1062"/>
      <c r="D130" s="1062"/>
      <c r="E130" s="1062"/>
      <c r="F130" s="1061"/>
      <c r="G130" s="1065">
        <v>20</v>
      </c>
      <c r="H130" s="1102" t="s">
        <v>1554</v>
      </c>
      <c r="I130" s="1280"/>
      <c r="J130" s="1280"/>
      <c r="K130" s="1060">
        <f t="shared" ref="K130:M131" si="18">L56</f>
        <v>459545345.35000002</v>
      </c>
      <c r="L130" s="1060">
        <f t="shared" si="18"/>
        <v>367636276.27999997</v>
      </c>
      <c r="M130" s="1060">
        <f t="shared" si="18"/>
        <v>261119567.03</v>
      </c>
      <c r="N130" s="1285">
        <f t="shared" si="16"/>
        <v>563464238.42156243</v>
      </c>
      <c r="O130" s="1285">
        <v>450771390.73724997</v>
      </c>
      <c r="P130" s="1285">
        <v>320182918.84066868</v>
      </c>
      <c r="Q130" s="1285"/>
      <c r="R130" s="1285"/>
      <c r="S130" s="1285"/>
      <c r="T130" s="1408"/>
      <c r="U130" s="1408"/>
      <c r="V130" s="1408"/>
    </row>
    <row r="131" spans="1:23" x14ac:dyDescent="0.2">
      <c r="A131" s="1062"/>
      <c r="B131" s="1062"/>
      <c r="C131" s="1062"/>
      <c r="D131" s="1062"/>
      <c r="E131" s="1062"/>
      <c r="F131" s="1061"/>
      <c r="G131" s="1065">
        <v>21</v>
      </c>
      <c r="H131" s="1102" t="s">
        <v>1558</v>
      </c>
      <c r="I131" s="1280"/>
      <c r="J131" s="1280"/>
      <c r="K131" s="1060">
        <f t="shared" si="18"/>
        <v>310441862.11000001</v>
      </c>
      <c r="L131" s="1060">
        <f t="shared" si="18"/>
        <v>248353489.69</v>
      </c>
      <c r="M131" s="1060">
        <f t="shared" si="18"/>
        <v>172494435.80000001</v>
      </c>
      <c r="N131" s="1285">
        <f t="shared" si="16"/>
        <v>381047926.1875</v>
      </c>
      <c r="O131" s="1285">
        <v>304838340.94999999</v>
      </c>
      <c r="P131" s="1285">
        <v>211740711.62386999</v>
      </c>
      <c r="Q131" s="1285"/>
      <c r="R131" s="1285"/>
      <c r="S131" s="1285"/>
      <c r="T131" s="1408"/>
      <c r="U131" s="1408"/>
      <c r="V131" s="1408"/>
    </row>
    <row r="132" spans="1:23" ht="48.75" customHeight="1" x14ac:dyDescent="0.2">
      <c r="A132" s="1062"/>
      <c r="B132" s="1062"/>
      <c r="C132" s="1062"/>
      <c r="D132" s="1062"/>
      <c r="E132" s="1062"/>
      <c r="F132" s="1061"/>
      <c r="G132" s="1065">
        <v>22</v>
      </c>
      <c r="H132" s="1103" t="s">
        <v>1400</v>
      </c>
      <c r="I132" s="1280" t="s">
        <v>1746</v>
      </c>
      <c r="J132" s="1280" t="s">
        <v>2044</v>
      </c>
      <c r="K132" s="1060">
        <v>279828560</v>
      </c>
      <c r="L132" s="1060">
        <v>223862868</v>
      </c>
      <c r="M132" s="1060">
        <v>160585512.68000001</v>
      </c>
      <c r="N132" s="1285">
        <v>323668187.43000001</v>
      </c>
      <c r="O132" s="1285">
        <v>258934549.94</v>
      </c>
      <c r="P132" s="1285">
        <v>180339055.47999999</v>
      </c>
      <c r="Q132" s="1285">
        <f t="shared" si="15"/>
        <v>43839627.430000007</v>
      </c>
      <c r="R132" s="1285">
        <f t="shared" si="15"/>
        <v>35071681.939999998</v>
      </c>
      <c r="S132" s="1285">
        <f t="shared" si="15"/>
        <v>19753542.799999982</v>
      </c>
      <c r="T132" s="1408" t="s">
        <v>2045</v>
      </c>
      <c r="U132" s="1408"/>
      <c r="V132" s="1408"/>
    </row>
    <row r="133" spans="1:23" ht="39.75" customHeight="1" x14ac:dyDescent="0.2">
      <c r="A133" s="1062"/>
      <c r="B133" s="1062"/>
      <c r="C133" s="1062"/>
      <c r="D133" s="1062"/>
      <c r="E133" s="1062"/>
      <c r="F133" s="1061"/>
      <c r="G133" s="1065">
        <v>23</v>
      </c>
      <c r="H133" s="1102" t="s">
        <v>1617</v>
      </c>
      <c r="I133" s="1280"/>
      <c r="J133" s="1280"/>
      <c r="K133" s="1060">
        <v>249094410.72999999</v>
      </c>
      <c r="L133" s="1060">
        <v>199275528.58000001</v>
      </c>
      <c r="M133" s="1060">
        <v>137594215.63</v>
      </c>
      <c r="N133" s="1285"/>
      <c r="O133" s="1285"/>
      <c r="P133" s="1285"/>
      <c r="Q133" s="1285"/>
      <c r="R133" s="1285"/>
      <c r="S133" s="1285"/>
      <c r="T133" s="1408" t="s">
        <v>1747</v>
      </c>
      <c r="U133" s="1408"/>
      <c r="V133" s="1408"/>
    </row>
    <row r="134" spans="1:23" ht="57.75" customHeight="1" x14ac:dyDescent="0.2">
      <c r="A134" s="1062"/>
      <c r="B134" s="1062"/>
      <c r="C134" s="1062"/>
      <c r="D134" s="1062"/>
      <c r="E134" s="1062"/>
      <c r="F134" s="1061"/>
      <c r="G134" s="1065">
        <v>24</v>
      </c>
      <c r="H134" s="1102" t="s">
        <v>2007</v>
      </c>
      <c r="I134" s="1280"/>
      <c r="J134" s="1280"/>
      <c r="K134" s="1060">
        <v>413433725</v>
      </c>
      <c r="L134" s="1060">
        <v>330746980</v>
      </c>
      <c r="M134" s="1060">
        <v>227484627.06</v>
      </c>
      <c r="N134" s="1285"/>
      <c r="O134" s="1285"/>
      <c r="P134" s="1285"/>
      <c r="Q134" s="1285"/>
      <c r="R134" s="1285"/>
      <c r="S134" s="1285"/>
      <c r="T134" s="1408" t="s">
        <v>2008</v>
      </c>
      <c r="U134" s="1408"/>
      <c r="V134" s="1408"/>
    </row>
    <row r="135" spans="1:23" ht="31.5" customHeight="1" x14ac:dyDescent="0.2">
      <c r="A135" s="1062"/>
      <c r="B135" s="1062"/>
      <c r="C135" s="1062"/>
      <c r="D135" s="1062"/>
      <c r="E135" s="1062"/>
      <c r="F135" s="1061"/>
      <c r="G135" s="1065">
        <v>25</v>
      </c>
      <c r="H135" s="1274" t="s">
        <v>1597</v>
      </c>
      <c r="I135" s="1280"/>
      <c r="J135" s="1280"/>
      <c r="K135" s="1070">
        <v>473667122.5</v>
      </c>
      <c r="L135" s="1070">
        <v>378933698</v>
      </c>
      <c r="M135" s="1070">
        <v>259088936.28</v>
      </c>
      <c r="N135" s="1285"/>
      <c r="O135" s="1285"/>
      <c r="P135" s="1285"/>
      <c r="Q135" s="1285"/>
      <c r="R135" s="1285"/>
      <c r="S135" s="1285"/>
      <c r="T135" s="1408" t="s">
        <v>2089</v>
      </c>
      <c r="U135" s="1408"/>
      <c r="V135" s="1408"/>
    </row>
    <row r="136" spans="1:23" ht="31.5" customHeight="1" x14ac:dyDescent="0.2">
      <c r="A136" s="1062"/>
      <c r="B136" s="1062"/>
      <c r="C136" s="1062"/>
      <c r="D136" s="1062"/>
      <c r="E136" s="1062"/>
      <c r="F136" s="1061"/>
      <c r="G136" s="1065">
        <v>26</v>
      </c>
      <c r="H136" s="1274" t="s">
        <v>1603</v>
      </c>
      <c r="I136" s="1280"/>
      <c r="J136" s="1280"/>
      <c r="K136" s="1045">
        <v>448662361.25</v>
      </c>
      <c r="L136" s="1045">
        <v>358929889</v>
      </c>
      <c r="M136" s="1045">
        <v>253696378.56999999</v>
      </c>
      <c r="N136" s="1285"/>
      <c r="O136" s="1285"/>
      <c r="P136" s="1285"/>
      <c r="Q136" s="1280"/>
      <c r="R136" s="1280"/>
      <c r="S136" s="1280"/>
      <c r="T136" s="1408" t="s">
        <v>2104</v>
      </c>
      <c r="U136" s="1408"/>
      <c r="V136" s="1408"/>
    </row>
    <row r="137" spans="1:23" ht="31.5" customHeight="1" x14ac:dyDescent="0.2">
      <c r="A137" s="1062"/>
      <c r="B137" s="1062"/>
      <c r="C137" s="1062"/>
      <c r="D137" s="1062"/>
      <c r="E137" s="1062"/>
      <c r="F137" s="1061"/>
      <c r="G137" s="1065">
        <v>27</v>
      </c>
      <c r="H137" s="1274" t="s">
        <v>1610</v>
      </c>
      <c r="I137" s="1280"/>
      <c r="J137" s="1280"/>
      <c r="K137" s="1280">
        <v>683801112.5</v>
      </c>
      <c r="L137" s="1280">
        <v>547040890</v>
      </c>
      <c r="M137" s="1280">
        <v>387792012.25999999</v>
      </c>
      <c r="N137" s="1285"/>
      <c r="O137" s="1285"/>
      <c r="P137" s="1285"/>
      <c r="Q137" s="1280"/>
      <c r="R137" s="1280"/>
      <c r="S137" s="1280"/>
      <c r="T137" s="1411" t="s">
        <v>2120</v>
      </c>
      <c r="U137" s="1412"/>
      <c r="V137" s="1413"/>
    </row>
    <row r="138" spans="1:23" x14ac:dyDescent="0.2">
      <c r="A138" s="1062"/>
      <c r="B138" s="1062"/>
      <c r="C138" s="1062"/>
      <c r="D138" s="1062"/>
      <c r="E138" s="1062"/>
      <c r="F138" s="1061"/>
      <c r="G138" s="1065"/>
      <c r="H138" s="1414" t="s">
        <v>294</v>
      </c>
      <c r="I138" s="1414"/>
      <c r="J138" s="1278"/>
      <c r="K138" s="1100">
        <f t="shared" ref="K138:S138" si="19">SUM(K111:K137)</f>
        <v>11616357508.682501</v>
      </c>
      <c r="L138" s="1100">
        <f t="shared" si="19"/>
        <v>9252470403.1299973</v>
      </c>
      <c r="M138" s="1100">
        <f t="shared" si="19"/>
        <v>6478593605.1400003</v>
      </c>
      <c r="N138" s="1278">
        <f t="shared" si="19"/>
        <v>11315697678.768749</v>
      </c>
      <c r="O138" s="1278">
        <f t="shared" si="19"/>
        <v>9052558143.0050011</v>
      </c>
      <c r="P138" s="1278">
        <f t="shared" si="19"/>
        <v>6337225737.7086706</v>
      </c>
      <c r="Q138" s="1278">
        <f t="shared" si="19"/>
        <v>128029474.39999999</v>
      </c>
      <c r="R138" s="1278">
        <f t="shared" si="19"/>
        <v>102423559.50999999</v>
      </c>
      <c r="S138" s="1278">
        <f t="shared" si="19"/>
        <v>68412744.899999976</v>
      </c>
      <c r="T138" s="1408"/>
      <c r="U138" s="1408"/>
      <c r="V138" s="1408"/>
      <c r="W138" s="831"/>
    </row>
    <row r="139" spans="1:23" x14ac:dyDescent="0.2">
      <c r="A139" s="829"/>
      <c r="B139" s="829"/>
      <c r="C139" s="829"/>
      <c r="D139" s="829"/>
      <c r="E139" s="829"/>
      <c r="F139" s="1024"/>
      <c r="G139" s="1025"/>
    </row>
    <row r="140" spans="1:23" ht="15.75" x14ac:dyDescent="0.2">
      <c r="A140" s="829"/>
      <c r="B140" s="829"/>
      <c r="C140" s="829"/>
      <c r="D140" s="829"/>
      <c r="E140" s="829"/>
      <c r="F140" s="1024"/>
      <c r="G140" s="1025"/>
      <c r="H140" s="1392" t="s">
        <v>1748</v>
      </c>
      <c r="I140" s="1392"/>
      <c r="J140" s="1392"/>
      <c r="K140" s="1392"/>
      <c r="L140" s="1392"/>
      <c r="M140" s="1392"/>
      <c r="N140" s="1392"/>
      <c r="O140" s="1392"/>
      <c r="P140" s="1392"/>
      <c r="Q140" s="1392"/>
      <c r="R140" s="831"/>
    </row>
    <row r="141" spans="1:23" s="831" customFormat="1" ht="73.5" customHeight="1" x14ac:dyDescent="0.2">
      <c r="A141" s="1104"/>
      <c r="B141" s="1104"/>
      <c r="C141" s="1104"/>
      <c r="D141" s="1104"/>
      <c r="E141" s="1104"/>
      <c r="F141" s="1105"/>
      <c r="G141" s="1065"/>
      <c r="H141" s="1274" t="s">
        <v>1382</v>
      </c>
      <c r="I141" s="1274" t="s">
        <v>1749</v>
      </c>
      <c r="J141" s="1274" t="s">
        <v>1750</v>
      </c>
      <c r="K141" s="1274" t="s">
        <v>1751</v>
      </c>
      <c r="L141" s="1026" t="s">
        <v>1355</v>
      </c>
      <c r="M141" s="1026" t="s">
        <v>1356</v>
      </c>
      <c r="N141" s="1026" t="s">
        <v>1357</v>
      </c>
      <c r="O141" s="1274" t="s">
        <v>1358</v>
      </c>
      <c r="P141" s="1274" t="s">
        <v>1359</v>
      </c>
      <c r="Q141" s="1274" t="s">
        <v>1360</v>
      </c>
      <c r="T141" s="830"/>
      <c r="U141" s="830"/>
      <c r="V141" s="830"/>
      <c r="W141" s="830"/>
    </row>
    <row r="142" spans="1:23" ht="49.5" customHeight="1" x14ac:dyDescent="0.2">
      <c r="A142" s="834"/>
      <c r="B142" s="834"/>
      <c r="C142" s="834"/>
      <c r="D142" s="834"/>
      <c r="E142" s="834"/>
      <c r="F142" s="1106"/>
      <c r="G142" s="1065">
        <v>1</v>
      </c>
      <c r="H142" s="1107" t="s">
        <v>1752</v>
      </c>
      <c r="I142" s="1108"/>
      <c r="J142" s="1108"/>
      <c r="K142" s="1108"/>
      <c r="L142" s="1091">
        <f t="shared" ref="L142:N142" si="20">O142/7.6</f>
        <v>17397169.90131579</v>
      </c>
      <c r="M142" s="1091">
        <f t="shared" si="20"/>
        <v>13917735.921052633</v>
      </c>
      <c r="N142" s="1091">
        <f t="shared" si="20"/>
        <v>9945855.1315789483</v>
      </c>
      <c r="O142" s="830">
        <f>P142*1.25</f>
        <v>132218491.25</v>
      </c>
      <c r="P142" s="1092">
        <v>105774793</v>
      </c>
      <c r="Q142" s="1092">
        <v>75588499</v>
      </c>
      <c r="R142" s="1109" t="s">
        <v>1753</v>
      </c>
      <c r="S142" s="1110"/>
    </row>
    <row r="143" spans="1:23" ht="29.25" customHeight="1" x14ac:dyDescent="0.2">
      <c r="A143" s="834"/>
      <c r="B143" s="834"/>
      <c r="C143" s="834"/>
      <c r="D143" s="834"/>
      <c r="E143" s="834"/>
      <c r="F143" s="1106"/>
      <c r="G143" s="1065">
        <v>2</v>
      </c>
      <c r="H143" s="1107" t="s">
        <v>1754</v>
      </c>
      <c r="I143" s="1108"/>
      <c r="J143" s="1108"/>
      <c r="K143" s="1108"/>
      <c r="L143" s="1091">
        <f>O143/7.6</f>
        <v>29201907.894736845</v>
      </c>
      <c r="M143" s="1091">
        <f>P143/7.6</f>
        <v>23361526.315789476</v>
      </c>
      <c r="N143" s="1091">
        <f>Q143/7.6</f>
        <v>17212305.394736841</v>
      </c>
      <c r="O143" s="1093">
        <v>221934500</v>
      </c>
      <c r="P143" s="1093">
        <v>177547600</v>
      </c>
      <c r="Q143" s="1093">
        <v>130813521</v>
      </c>
      <c r="R143" s="1111" t="s">
        <v>1755</v>
      </c>
      <c r="S143" s="1110"/>
    </row>
    <row r="144" spans="1:23" ht="29.25" customHeight="1" x14ac:dyDescent="0.2">
      <c r="A144" s="834"/>
      <c r="B144" s="834"/>
      <c r="C144" s="834"/>
      <c r="D144" s="834"/>
      <c r="E144" s="834"/>
      <c r="F144" s="1106"/>
      <c r="G144" s="1065">
        <v>3</v>
      </c>
      <c r="H144" s="1107" t="s">
        <v>1756</v>
      </c>
      <c r="I144" s="1108"/>
      <c r="J144" s="1108"/>
      <c r="K144" s="1108"/>
      <c r="L144" s="1094">
        <f t="shared" ref="L144:N147" si="21">O144/7.6</f>
        <v>309500667.7631579</v>
      </c>
      <c r="M144" s="1094">
        <f t="shared" si="21"/>
        <v>247600534.21052632</v>
      </c>
      <c r="N144" s="1094">
        <f t="shared" si="21"/>
        <v>175450685.41842106</v>
      </c>
      <c r="O144" s="1045">
        <f>P144*1.25</f>
        <v>2352205075</v>
      </c>
      <c r="P144" s="1045">
        <v>1881764060</v>
      </c>
      <c r="Q144" s="1045">
        <v>1333425209.1800001</v>
      </c>
      <c r="R144" s="1111" t="s">
        <v>2009</v>
      </c>
      <c r="S144" s="1110"/>
    </row>
    <row r="145" spans="1:22" ht="29.25" customHeight="1" x14ac:dyDescent="0.2">
      <c r="A145" s="834"/>
      <c r="B145" s="834"/>
      <c r="C145" s="834"/>
      <c r="D145" s="834"/>
      <c r="E145" s="834"/>
      <c r="F145" s="1106"/>
      <c r="G145" s="1065">
        <v>4</v>
      </c>
      <c r="H145" s="1107" t="s">
        <v>1757</v>
      </c>
      <c r="I145" s="1108"/>
      <c r="J145" s="1108"/>
      <c r="K145" s="1108"/>
      <c r="L145" s="1094">
        <f t="shared" si="21"/>
        <v>122492370.78947368</v>
      </c>
      <c r="M145" s="1094">
        <f t="shared" si="21"/>
        <v>97993896.57894738</v>
      </c>
      <c r="N145" s="1094">
        <f t="shared" si="21"/>
        <v>70275833.026315793</v>
      </c>
      <c r="O145" s="835">
        <v>930942018</v>
      </c>
      <c r="P145" s="835">
        <v>744753614</v>
      </c>
      <c r="Q145" s="835">
        <v>534096331</v>
      </c>
      <c r="R145" s="1111" t="s">
        <v>1758</v>
      </c>
      <c r="S145" s="1110"/>
    </row>
    <row r="146" spans="1:22" ht="29.25" customHeight="1" x14ac:dyDescent="0.2">
      <c r="A146" s="834"/>
      <c r="B146" s="834"/>
      <c r="C146" s="834"/>
      <c r="D146" s="834"/>
      <c r="E146" s="834"/>
      <c r="F146" s="1106"/>
      <c r="G146" s="1065">
        <v>5</v>
      </c>
      <c r="H146" s="1107" t="s">
        <v>1759</v>
      </c>
      <c r="I146" s="1108"/>
      <c r="J146" s="1108"/>
      <c r="K146" s="1108"/>
      <c r="L146" s="1091">
        <f t="shared" si="21"/>
        <v>60807662.006578952</v>
      </c>
      <c r="M146" s="1091">
        <f t="shared" si="21"/>
        <v>48646129.605263159</v>
      </c>
      <c r="N146" s="1091">
        <f t="shared" si="21"/>
        <v>34204736.842105262</v>
      </c>
      <c r="O146" s="1045">
        <v>462138231.25</v>
      </c>
      <c r="P146" s="1045">
        <v>369710585</v>
      </c>
      <c r="Q146" s="1045">
        <v>259956000</v>
      </c>
      <c r="R146" s="1111" t="s">
        <v>1760</v>
      </c>
      <c r="S146" s="1110"/>
    </row>
    <row r="147" spans="1:22" ht="29.25" customHeight="1" x14ac:dyDescent="0.2">
      <c r="A147" s="834"/>
      <c r="B147" s="834"/>
      <c r="C147" s="834"/>
      <c r="D147" s="834"/>
      <c r="E147" s="834"/>
      <c r="F147" s="1106"/>
      <c r="G147" s="1065">
        <v>6</v>
      </c>
      <c r="H147" s="1107" t="s">
        <v>1761</v>
      </c>
      <c r="I147" s="1108"/>
      <c r="J147" s="1108"/>
      <c r="K147" s="1108"/>
      <c r="L147" s="1094">
        <f t="shared" si="21"/>
        <v>20422349.177631579</v>
      </c>
      <c r="M147" s="1094">
        <f t="shared" si="21"/>
        <v>16337879.342105264</v>
      </c>
      <c r="N147" s="1094">
        <f t="shared" si="21"/>
        <v>11472458.873684211</v>
      </c>
      <c r="O147" s="1045">
        <f>P147*1.25</f>
        <v>155209853.75</v>
      </c>
      <c r="P147" s="1112">
        <v>124167883</v>
      </c>
      <c r="Q147" s="1112">
        <v>87190687.439999998</v>
      </c>
      <c r="R147" s="1111" t="s">
        <v>1760</v>
      </c>
      <c r="S147" s="1110"/>
    </row>
    <row r="148" spans="1:22" ht="21" customHeight="1" x14ac:dyDescent="0.2">
      <c r="A148" s="834"/>
      <c r="B148" s="834"/>
      <c r="C148" s="834"/>
      <c r="D148" s="834"/>
      <c r="E148" s="834"/>
      <c r="F148" s="1106"/>
      <c r="G148" s="1065"/>
      <c r="H148" s="1414" t="s">
        <v>294</v>
      </c>
      <c r="I148" s="1414"/>
      <c r="J148" s="1414"/>
      <c r="K148" s="1414"/>
      <c r="L148" s="1081">
        <f>SUM(L142:L147)</f>
        <v>559822127.53289473</v>
      </c>
      <c r="M148" s="1081">
        <f>SUM(M142:M147)</f>
        <v>447857701.97368425</v>
      </c>
      <c r="N148" s="1081">
        <f t="shared" ref="N148:Q148" si="22">SUM(N142:N147)</f>
        <v>318561874.68684214</v>
      </c>
      <c r="O148" s="1081">
        <f>SUM(O142:O147)</f>
        <v>4254648169.25</v>
      </c>
      <c r="P148" s="1081">
        <f t="shared" si="22"/>
        <v>3403718535</v>
      </c>
      <c r="Q148" s="1081">
        <f t="shared" si="22"/>
        <v>2421070247.6200004</v>
      </c>
    </row>
    <row r="149" spans="1:22" x14ac:dyDescent="0.2">
      <c r="A149" s="834"/>
      <c r="B149" s="834"/>
      <c r="C149" s="834"/>
      <c r="D149" s="834"/>
      <c r="E149" s="834"/>
      <c r="F149" s="1106"/>
      <c r="G149" s="1025"/>
    </row>
    <row r="150" spans="1:22" ht="15" x14ac:dyDescent="0.2">
      <c r="A150" s="829"/>
      <c r="B150" s="829"/>
      <c r="C150" s="829"/>
      <c r="D150" s="829"/>
      <c r="E150" s="829"/>
      <c r="F150" s="1024"/>
      <c r="G150" s="1025"/>
      <c r="H150" s="1393" t="s">
        <v>1762</v>
      </c>
      <c r="I150" s="1396"/>
      <c r="J150" s="1396"/>
      <c r="K150" s="1396"/>
      <c r="L150" s="1396"/>
    </row>
    <row r="151" spans="1:22" ht="45.75" customHeight="1" x14ac:dyDescent="0.2">
      <c r="A151" s="829"/>
      <c r="B151" s="829"/>
      <c r="C151" s="829"/>
      <c r="D151" s="829"/>
      <c r="E151" s="829"/>
      <c r="F151" s="1113" t="s">
        <v>1763</v>
      </c>
      <c r="G151" s="1065"/>
      <c r="H151" s="1273" t="s">
        <v>1382</v>
      </c>
      <c r="I151" s="1274" t="s">
        <v>1764</v>
      </c>
      <c r="J151" s="1026" t="s">
        <v>1355</v>
      </c>
      <c r="K151" s="1026" t="s">
        <v>1356</v>
      </c>
      <c r="L151" s="1026" t="s">
        <v>1357</v>
      </c>
      <c r="M151" s="1114" t="s">
        <v>1358</v>
      </c>
      <c r="N151" s="1114" t="s">
        <v>1765</v>
      </c>
      <c r="O151" s="1114" t="s">
        <v>1766</v>
      </c>
      <c r="R151" s="830" t="s">
        <v>1713</v>
      </c>
    </row>
    <row r="152" spans="1:22" ht="18" customHeight="1" x14ac:dyDescent="0.2">
      <c r="A152" s="829"/>
      <c r="B152" s="829"/>
      <c r="C152" s="829"/>
      <c r="D152" s="829"/>
      <c r="E152" s="829"/>
      <c r="F152" s="1061"/>
      <c r="G152" s="1065">
        <v>1</v>
      </c>
      <c r="H152" s="1107" t="s">
        <v>1767</v>
      </c>
      <c r="I152" s="1115"/>
      <c r="J152" s="1094">
        <f t="shared" ref="J152:L156" si="23">M152/7.6</f>
        <v>13495430.592105264</v>
      </c>
      <c r="K152" s="1094">
        <f t="shared" si="23"/>
        <v>10796344.47368421</v>
      </c>
      <c r="L152" s="1094">
        <f t="shared" si="23"/>
        <v>7767322.1052631587</v>
      </c>
      <c r="M152" s="1067">
        <v>102565272.5</v>
      </c>
      <c r="N152" s="1067">
        <v>82052218</v>
      </c>
      <c r="O152" s="1067">
        <v>59031648</v>
      </c>
    </row>
    <row r="153" spans="1:22" ht="18" customHeight="1" x14ac:dyDescent="0.2">
      <c r="A153" s="829"/>
      <c r="B153" s="829"/>
      <c r="C153" s="829"/>
      <c r="D153" s="829"/>
      <c r="E153" s="829"/>
      <c r="F153" s="1061"/>
      <c r="G153" s="1065">
        <v>2</v>
      </c>
      <c r="H153" s="1107" t="s">
        <v>1768</v>
      </c>
      <c r="I153" s="1115"/>
      <c r="J153" s="1094">
        <f t="shared" si="23"/>
        <v>66038668.421052635</v>
      </c>
      <c r="K153" s="1094">
        <f t="shared" si="23"/>
        <v>52830934.736842111</v>
      </c>
      <c r="L153" s="1094">
        <f t="shared" si="23"/>
        <v>35940374.894736841</v>
      </c>
      <c r="M153" s="1058">
        <v>501893880</v>
      </c>
      <c r="N153" s="1058">
        <v>401515104</v>
      </c>
      <c r="O153" s="1058">
        <v>273146849.19999999</v>
      </c>
    </row>
    <row r="154" spans="1:22" ht="18" customHeight="1" x14ac:dyDescent="0.2">
      <c r="A154" s="829"/>
      <c r="B154" s="829"/>
      <c r="C154" s="829"/>
      <c r="D154" s="829"/>
      <c r="E154" s="829"/>
      <c r="F154" s="1061"/>
      <c r="G154" s="1065">
        <v>3</v>
      </c>
      <c r="H154" s="1107" t="s">
        <v>1769</v>
      </c>
      <c r="I154" s="1115"/>
      <c r="J154" s="1094">
        <f t="shared" si="23"/>
        <v>31304172.697368421</v>
      </c>
      <c r="K154" s="1094">
        <f t="shared" si="23"/>
        <v>25043338.157894738</v>
      </c>
      <c r="L154" s="1094">
        <f t="shared" si="23"/>
        <v>17289920.664473686</v>
      </c>
      <c r="M154" s="1116">
        <v>237911712.5</v>
      </c>
      <c r="N154" s="1116">
        <v>190329370</v>
      </c>
      <c r="O154" s="1116">
        <v>131403397.05</v>
      </c>
    </row>
    <row r="155" spans="1:22" ht="24.75" customHeight="1" x14ac:dyDescent="0.2">
      <c r="A155" s="829"/>
      <c r="B155" s="829"/>
      <c r="C155" s="829"/>
      <c r="D155" s="829"/>
      <c r="E155" s="829"/>
      <c r="F155" s="1061"/>
      <c r="G155" s="1065">
        <v>4</v>
      </c>
      <c r="H155" s="1107" t="s">
        <v>1770</v>
      </c>
      <c r="I155" s="1115"/>
      <c r="J155" s="1094">
        <f t="shared" si="23"/>
        <v>30904615.789473686</v>
      </c>
      <c r="K155" s="1094">
        <f t="shared" si="23"/>
        <v>24723692.631578948</v>
      </c>
      <c r="L155" s="1094">
        <f t="shared" si="23"/>
        <v>17363712.631578948</v>
      </c>
      <c r="M155" s="1067">
        <v>234875080</v>
      </c>
      <c r="N155" s="1067">
        <v>187900064</v>
      </c>
      <c r="O155" s="1067">
        <v>131964216</v>
      </c>
    </row>
    <row r="156" spans="1:22" ht="18" customHeight="1" x14ac:dyDescent="0.2">
      <c r="A156" s="829"/>
      <c r="B156" s="829"/>
      <c r="C156" s="829"/>
      <c r="D156" s="829"/>
      <c r="E156" s="829"/>
      <c r="F156" s="1061"/>
      <c r="G156" s="1065">
        <v>5</v>
      </c>
      <c r="H156" s="1107" t="s">
        <v>1771</v>
      </c>
      <c r="I156" s="1115"/>
      <c r="J156" s="1094">
        <f t="shared" si="23"/>
        <v>14670314.605263159</v>
      </c>
      <c r="K156" s="1094">
        <f t="shared" si="23"/>
        <v>11736251.710526315</v>
      </c>
      <c r="L156" s="1094">
        <f t="shared" si="23"/>
        <v>8857997.6315789483</v>
      </c>
      <c r="M156" s="1058">
        <v>111494391</v>
      </c>
      <c r="N156" s="1058">
        <v>89195513</v>
      </c>
      <c r="O156" s="1067">
        <v>67320782</v>
      </c>
    </row>
    <row r="157" spans="1:22" s="831" customFormat="1" ht="15" x14ac:dyDescent="0.2">
      <c r="A157" s="1084"/>
      <c r="B157" s="1084"/>
      <c r="C157" s="1084"/>
      <c r="D157" s="1084"/>
      <c r="E157" s="1084"/>
      <c r="F157" s="1113"/>
      <c r="G157" s="1065"/>
      <c r="H157" s="1107" t="s">
        <v>294</v>
      </c>
      <c r="I157" s="1274"/>
      <c r="J157" s="1117">
        <f t="shared" ref="J157:O157" si="24">SUM(J152:J156)</f>
        <v>156413202.10526317</v>
      </c>
      <c r="K157" s="1117">
        <f t="shared" si="24"/>
        <v>125130561.71052632</v>
      </c>
      <c r="L157" s="1117">
        <f t="shared" si="24"/>
        <v>87219327.927631587</v>
      </c>
      <c r="M157" s="1117">
        <f t="shared" si="24"/>
        <v>1188740336</v>
      </c>
      <c r="N157" s="1117">
        <f t="shared" si="24"/>
        <v>950992269</v>
      </c>
      <c r="O157" s="1117">
        <f t="shared" si="24"/>
        <v>662866892.25</v>
      </c>
      <c r="Q157" s="1110"/>
    </row>
    <row r="158" spans="1:22" x14ac:dyDescent="0.2">
      <c r="A158" s="829"/>
      <c r="B158" s="829"/>
      <c r="C158" s="829"/>
      <c r="D158" s="829"/>
      <c r="E158" s="829"/>
      <c r="F158" s="1024"/>
      <c r="G158" s="1025"/>
      <c r="H158" s="834"/>
      <c r="I158" s="834"/>
      <c r="J158" s="834"/>
      <c r="K158" s="834"/>
      <c r="L158" s="834"/>
    </row>
    <row r="159" spans="1:22" ht="15" x14ac:dyDescent="0.2">
      <c r="A159" s="829"/>
      <c r="B159" s="829"/>
      <c r="C159" s="829"/>
      <c r="D159" s="829"/>
      <c r="E159" s="829"/>
      <c r="F159" s="1024"/>
      <c r="G159" s="1025"/>
      <c r="H159" s="1393" t="s">
        <v>1772</v>
      </c>
      <c r="I159" s="1396"/>
      <c r="J159" s="1396"/>
      <c r="K159" s="1396"/>
      <c r="L159" s="834"/>
      <c r="M159" s="1118"/>
      <c r="N159" s="1118"/>
      <c r="O159" s="834"/>
      <c r="P159" s="834"/>
      <c r="Q159" s="834"/>
    </row>
    <row r="160" spans="1:22" ht="38.25" x14ac:dyDescent="0.2">
      <c r="A160" s="829"/>
      <c r="B160" s="829"/>
      <c r="C160" s="829"/>
      <c r="D160" s="829"/>
      <c r="E160" s="829"/>
      <c r="F160" s="1024"/>
      <c r="G160" s="1285"/>
      <c r="H160" s="1284" t="s">
        <v>1382</v>
      </c>
      <c r="I160" s="1026" t="s">
        <v>1355</v>
      </c>
      <c r="J160" s="1026" t="s">
        <v>1356</v>
      </c>
      <c r="K160" s="1026" t="s">
        <v>1357</v>
      </c>
      <c r="L160" s="1284" t="s">
        <v>1358</v>
      </c>
      <c r="M160" s="1284" t="s">
        <v>1765</v>
      </c>
      <c r="N160" s="1284" t="s">
        <v>1766</v>
      </c>
      <c r="O160" s="1415" t="s">
        <v>1763</v>
      </c>
      <c r="P160" s="1415"/>
      <c r="Q160" s="1415"/>
      <c r="R160" s="1415"/>
      <c r="S160" s="1119"/>
      <c r="T160" s="1119"/>
      <c r="U160" s="1120"/>
      <c r="V160" s="1120"/>
    </row>
    <row r="161" spans="1:22" ht="180.75" customHeight="1" x14ac:dyDescent="0.2">
      <c r="A161" s="829"/>
      <c r="B161" s="829"/>
      <c r="C161" s="829"/>
      <c r="D161" s="829"/>
      <c r="E161" s="829"/>
      <c r="F161" s="1024"/>
      <c r="G161" s="1065">
        <v>1</v>
      </c>
      <c r="H161" s="1284" t="s">
        <v>1773</v>
      </c>
      <c r="I161" s="1060">
        <f t="shared" ref="I161:K164" si="25">L161/7.6</f>
        <v>110387321.875</v>
      </c>
      <c r="J161" s="1060">
        <f t="shared" si="25"/>
        <v>88309857.5</v>
      </c>
      <c r="K161" s="1060">
        <f t="shared" si="25"/>
        <v>61862027.5</v>
      </c>
      <c r="L161" s="1045">
        <f>1.25*M161</f>
        <v>838943646.25</v>
      </c>
      <c r="M161" s="1045">
        <v>671154917</v>
      </c>
      <c r="N161" s="1045">
        <v>470151409</v>
      </c>
      <c r="O161" s="1415" t="s">
        <v>2090</v>
      </c>
      <c r="P161" s="1415"/>
      <c r="Q161" s="1415"/>
      <c r="R161" s="1415"/>
      <c r="S161" s="1119"/>
      <c r="T161" s="1119"/>
      <c r="U161" s="1120"/>
      <c r="V161" s="1120"/>
    </row>
    <row r="162" spans="1:22" ht="141.75" customHeight="1" x14ac:dyDescent="0.2">
      <c r="A162" s="829"/>
      <c r="B162" s="829"/>
      <c r="C162" s="829"/>
      <c r="D162" s="829"/>
      <c r="E162" s="829"/>
      <c r="F162" s="1024"/>
      <c r="G162" s="1065">
        <v>2</v>
      </c>
      <c r="H162" s="1121" t="s">
        <v>1774</v>
      </c>
      <c r="I162" s="1094">
        <f t="shared" si="25"/>
        <v>97143722.861842111</v>
      </c>
      <c r="J162" s="1094">
        <f t="shared" si="25"/>
        <v>77714978.289473683</v>
      </c>
      <c r="K162" s="1094">
        <f t="shared" si="25"/>
        <v>52878371.710526317</v>
      </c>
      <c r="L162" s="1045">
        <f>M162*1.25</f>
        <v>738292293.75</v>
      </c>
      <c r="M162" s="1045">
        <v>590633835</v>
      </c>
      <c r="N162" s="1045">
        <v>401875625</v>
      </c>
      <c r="O162" s="1415" t="s">
        <v>2091</v>
      </c>
      <c r="P162" s="1415"/>
      <c r="Q162" s="1415"/>
      <c r="R162" s="1415"/>
      <c r="S162" s="829"/>
    </row>
    <row r="163" spans="1:22" ht="45" customHeight="1" x14ac:dyDescent="0.2">
      <c r="A163" s="829"/>
      <c r="B163" s="829"/>
      <c r="C163" s="829"/>
      <c r="D163" s="829"/>
      <c r="E163" s="829"/>
      <c r="F163" s="1024"/>
      <c r="G163" s="1065">
        <v>3</v>
      </c>
      <c r="H163" s="1121" t="s">
        <v>1775</v>
      </c>
      <c r="I163" s="1094">
        <f t="shared" si="25"/>
        <v>40868666.611842111</v>
      </c>
      <c r="J163" s="1094">
        <f t="shared" si="25"/>
        <v>32694933.289473686</v>
      </c>
      <c r="K163" s="1094">
        <f t="shared" si="25"/>
        <v>24521199.967105266</v>
      </c>
      <c r="L163" s="1045">
        <v>310601866.25</v>
      </c>
      <c r="M163" s="1045">
        <v>248481493</v>
      </c>
      <c r="N163" s="1045">
        <v>186361119.75</v>
      </c>
      <c r="O163" s="1415" t="s">
        <v>1776</v>
      </c>
      <c r="P163" s="1415"/>
      <c r="Q163" s="1415"/>
      <c r="R163" s="1415"/>
      <c r="S163" s="829"/>
    </row>
    <row r="164" spans="1:22" ht="114.75" customHeight="1" x14ac:dyDescent="0.2">
      <c r="A164" s="829"/>
      <c r="B164" s="829"/>
      <c r="C164" s="829"/>
      <c r="D164" s="829"/>
      <c r="E164" s="829"/>
      <c r="F164" s="1024"/>
      <c r="G164" s="1065">
        <v>4</v>
      </c>
      <c r="H164" s="1121" t="s">
        <v>1777</v>
      </c>
      <c r="I164" s="1094">
        <f t="shared" si="25"/>
        <v>35187265.131578952</v>
      </c>
      <c r="J164" s="1094">
        <f t="shared" si="25"/>
        <v>28149812.105263159</v>
      </c>
      <c r="K164" s="1094">
        <f t="shared" si="25"/>
        <v>19869363.815789476</v>
      </c>
      <c r="L164" s="1045">
        <v>267423215</v>
      </c>
      <c r="M164" s="1045">
        <v>213938572</v>
      </c>
      <c r="N164" s="1045">
        <v>151007165</v>
      </c>
      <c r="O164" s="1415" t="s">
        <v>2066</v>
      </c>
      <c r="P164" s="1415"/>
      <c r="Q164" s="1415"/>
      <c r="R164" s="1415"/>
      <c r="S164" s="829"/>
    </row>
    <row r="165" spans="1:22" ht="23.25" customHeight="1" x14ac:dyDescent="0.2">
      <c r="A165" s="829"/>
      <c r="B165" s="829"/>
      <c r="C165" s="829"/>
      <c r="D165" s="829"/>
      <c r="E165" s="829"/>
      <c r="F165" s="1024"/>
      <c r="G165" s="1065"/>
      <c r="H165" s="1121" t="s">
        <v>294</v>
      </c>
      <c r="I165" s="1122">
        <f t="shared" ref="I165:N165" si="26">SUM(I161:I164)</f>
        <v>283586976.48026311</v>
      </c>
      <c r="J165" s="1122">
        <f t="shared" si="26"/>
        <v>226869581.18421054</v>
      </c>
      <c r="K165" s="1122">
        <f t="shared" si="26"/>
        <v>159130962.99342108</v>
      </c>
      <c r="L165" s="1041">
        <f t="shared" si="26"/>
        <v>2155261021.25</v>
      </c>
      <c r="M165" s="1041">
        <f t="shared" si="26"/>
        <v>1724208817</v>
      </c>
      <c r="N165" s="1041">
        <f t="shared" si="26"/>
        <v>1209395318.75</v>
      </c>
      <c r="O165" s="1416"/>
      <c r="P165" s="1417"/>
      <c r="Q165" s="1417"/>
      <c r="R165" s="1418"/>
      <c r="U165" s="1120"/>
      <c r="V165" s="1120"/>
    </row>
    <row r="166" spans="1:22" ht="15" x14ac:dyDescent="0.2">
      <c r="A166" s="829"/>
      <c r="B166" s="829"/>
      <c r="C166" s="829"/>
      <c r="D166" s="829"/>
      <c r="E166" s="829"/>
      <c r="F166" s="1024"/>
      <c r="G166" s="1123"/>
      <c r="H166" s="1124"/>
      <c r="I166" s="1125"/>
      <c r="J166" s="1125"/>
      <c r="K166" s="1125"/>
      <c r="L166" s="1126"/>
      <c r="R166" s="1120"/>
      <c r="S166" s="1120"/>
    </row>
    <row r="167" spans="1:22" ht="15" x14ac:dyDescent="0.2">
      <c r="A167" s="829"/>
      <c r="B167" s="829"/>
      <c r="C167" s="829"/>
      <c r="D167" s="829"/>
      <c r="E167" s="829"/>
      <c r="F167" s="1024"/>
      <c r="G167" s="1123"/>
      <c r="H167" s="1124"/>
      <c r="I167" s="1125"/>
      <c r="J167" s="1125"/>
      <c r="K167" s="1125"/>
      <c r="L167" s="1126"/>
      <c r="R167" s="1120"/>
      <c r="S167" s="1120"/>
    </row>
    <row r="168" spans="1:22" x14ac:dyDescent="0.2">
      <c r="A168" s="829"/>
      <c r="B168" s="829"/>
      <c r="C168" s="829"/>
      <c r="D168" s="829"/>
      <c r="E168" s="829"/>
      <c r="F168" s="1024"/>
      <c r="G168" s="1123"/>
      <c r="H168" s="1037"/>
      <c r="I168" s="1037"/>
      <c r="J168" s="1037"/>
      <c r="K168" s="1037"/>
      <c r="R168" s="1120"/>
      <c r="S168" s="1120"/>
    </row>
    <row r="169" spans="1:22" ht="15.75" x14ac:dyDescent="0.2">
      <c r="A169" s="829"/>
      <c r="B169" s="829"/>
      <c r="C169" s="829"/>
      <c r="D169" s="829"/>
      <c r="E169" s="829"/>
      <c r="F169" s="1024"/>
      <c r="G169" s="1025"/>
      <c r="H169" s="1286" t="s">
        <v>1778</v>
      </c>
      <c r="I169" s="1286"/>
      <c r="J169" s="1286"/>
      <c r="K169" s="1286"/>
      <c r="L169" s="1286"/>
      <c r="M169" s="1286"/>
      <c r="N169" s="1286"/>
      <c r="O169" s="1286"/>
      <c r="P169" s="1286"/>
      <c r="Q169" s="1286"/>
      <c r="R169" s="1286"/>
    </row>
    <row r="170" spans="1:22" ht="13.5" customHeight="1" x14ac:dyDescent="0.2">
      <c r="A170" s="829"/>
      <c r="B170" s="829"/>
      <c r="C170" s="829"/>
      <c r="D170" s="829"/>
      <c r="E170" s="829"/>
      <c r="F170" s="1024"/>
      <c r="G170" s="1025"/>
      <c r="H170" s="1419"/>
      <c r="I170" s="1398"/>
      <c r="J170" s="1398"/>
      <c r="K170" s="1398"/>
      <c r="L170" s="1275"/>
      <c r="M170" s="1275"/>
      <c r="N170" s="1275"/>
      <c r="O170" s="1275"/>
      <c r="P170" s="1275"/>
      <c r="Q170" s="1275"/>
      <c r="R170" s="1275"/>
    </row>
    <row r="171" spans="1:22" ht="13.5" customHeight="1" x14ac:dyDescent="0.2">
      <c r="A171" s="829"/>
      <c r="B171" s="829"/>
      <c r="C171" s="829"/>
      <c r="D171" s="829"/>
      <c r="E171" s="829"/>
      <c r="F171" s="1024"/>
      <c r="G171" s="1025"/>
      <c r="H171" s="1274"/>
      <c r="I171" s="1274" t="s">
        <v>1351</v>
      </c>
      <c r="J171" s="1026" t="s">
        <v>1352</v>
      </c>
      <c r="K171" s="1276"/>
      <c r="L171" s="1276"/>
      <c r="M171" s="1276"/>
      <c r="N171" s="836"/>
      <c r="O171" s="834"/>
      <c r="P171" s="1037"/>
      <c r="Q171" s="1037"/>
      <c r="R171" s="1037"/>
    </row>
    <row r="172" spans="1:22" ht="25.5" x14ac:dyDescent="0.2">
      <c r="A172" s="829"/>
      <c r="B172" s="829"/>
      <c r="C172" s="829"/>
      <c r="D172" s="829"/>
      <c r="E172" s="829"/>
      <c r="F172" s="1024"/>
      <c r="G172" s="1025"/>
      <c r="H172" s="1127" t="s">
        <v>1779</v>
      </c>
      <c r="I172" s="1280">
        <f>J172*7.6</f>
        <v>1634000000</v>
      </c>
      <c r="J172" s="1049">
        <v>215000000</v>
      </c>
      <c r="K172" s="1277"/>
      <c r="L172" s="1277"/>
      <c r="M172" s="1277"/>
      <c r="N172" s="836"/>
      <c r="O172" s="834"/>
      <c r="P172" s="1128"/>
      <c r="Q172" s="1128"/>
    </row>
    <row r="173" spans="1:22" ht="15.75" thickBot="1" x14ac:dyDescent="0.25">
      <c r="A173" s="829"/>
      <c r="B173" s="829"/>
      <c r="C173" s="829"/>
      <c r="D173" s="829"/>
      <c r="E173" s="829"/>
      <c r="F173" s="1024"/>
      <c r="G173" s="1025"/>
      <c r="H173" s="1129" t="s">
        <v>1780</v>
      </c>
      <c r="I173" s="837">
        <f>J173*7.6</f>
        <v>1472389655.5999999</v>
      </c>
      <c r="J173" s="1130">
        <f>J172-16264519-5000000</f>
        <v>193735481</v>
      </c>
      <c r="K173" s="1277"/>
      <c r="L173" s="1277"/>
      <c r="M173" s="1277"/>
      <c r="N173" s="836"/>
      <c r="O173" s="834"/>
      <c r="P173" s="1128"/>
      <c r="Q173" s="1128"/>
    </row>
    <row r="174" spans="1:22" ht="26.25" thickBot="1" x14ac:dyDescent="0.25">
      <c r="A174" s="829"/>
      <c r="B174" s="829"/>
      <c r="C174" s="829"/>
      <c r="D174" s="829"/>
      <c r="E174" s="829"/>
      <c r="F174" s="1024"/>
      <c r="G174" s="1025"/>
      <c r="H174" s="1131" t="s">
        <v>1781</v>
      </c>
      <c r="I174" s="1132">
        <f>J174*7.6</f>
        <v>1358389655.5999999</v>
      </c>
      <c r="J174" s="1133">
        <v>178735481</v>
      </c>
      <c r="K174" s="1277"/>
      <c r="L174" s="1277"/>
      <c r="M174" s="1277"/>
      <c r="N174" s="836"/>
      <c r="O174" s="834"/>
      <c r="P174" s="1128"/>
      <c r="Q174" s="1128"/>
    </row>
    <row r="175" spans="1:22" ht="13.5" customHeight="1" x14ac:dyDescent="0.2">
      <c r="A175" s="829"/>
      <c r="B175" s="829"/>
      <c r="C175" s="829"/>
      <c r="D175" s="829"/>
      <c r="E175" s="829"/>
      <c r="F175" s="1024"/>
      <c r="G175" s="1025"/>
      <c r="H175" s="1279"/>
      <c r="J175" s="1277"/>
      <c r="K175" s="1277"/>
      <c r="L175" s="1277"/>
      <c r="M175" s="1277"/>
      <c r="N175" s="836"/>
      <c r="O175" s="834"/>
      <c r="P175" s="1128"/>
      <c r="Q175" s="1128"/>
    </row>
    <row r="176" spans="1:22" ht="51" x14ac:dyDescent="0.2">
      <c r="A176" s="829"/>
      <c r="B176" s="829"/>
      <c r="C176" s="829"/>
      <c r="D176" s="829"/>
      <c r="E176" s="829"/>
      <c r="F176" s="1024"/>
      <c r="G176" s="1065"/>
      <c r="H176" s="1285"/>
      <c r="I176" s="1026" t="s">
        <v>1355</v>
      </c>
      <c r="J176" s="1026" t="s">
        <v>1356</v>
      </c>
      <c r="K176" s="1026" t="s">
        <v>1357</v>
      </c>
      <c r="L176" s="1274" t="s">
        <v>1358</v>
      </c>
      <c r="M176" s="1274" t="s">
        <v>1359</v>
      </c>
      <c r="N176" s="1274" t="s">
        <v>1360</v>
      </c>
      <c r="O176" s="1134" t="s">
        <v>1782</v>
      </c>
      <c r="P176" s="1135" t="s">
        <v>1783</v>
      </c>
      <c r="Q176" s="1136"/>
    </row>
    <row r="177" spans="1:21" x14ac:dyDescent="0.2">
      <c r="A177" s="829"/>
      <c r="B177" s="829"/>
      <c r="C177" s="829"/>
      <c r="D177" s="829"/>
      <c r="E177" s="829"/>
      <c r="F177" s="1024"/>
      <c r="G177" s="1065">
        <v>1</v>
      </c>
      <c r="H177" s="1278" t="s">
        <v>1367</v>
      </c>
      <c r="I177" s="1026">
        <f t="shared" ref="I177:N177" si="27">I196</f>
        <v>215170301.45973685</v>
      </c>
      <c r="J177" s="1026">
        <f t="shared" si="27"/>
        <v>215170301.45973685</v>
      </c>
      <c r="K177" s="1026">
        <f t="shared" si="27"/>
        <v>182894756.23405263</v>
      </c>
      <c r="L177" s="1274">
        <f t="shared" si="27"/>
        <v>1635294291.1099999</v>
      </c>
      <c r="M177" s="1274">
        <f t="shared" si="27"/>
        <v>1635294291.1099999</v>
      </c>
      <c r="N177" s="1274">
        <f t="shared" si="27"/>
        <v>1390000147.4000001</v>
      </c>
      <c r="O177" s="1137">
        <f>N177/$I$174</f>
        <v>1.0232705628091947</v>
      </c>
      <c r="P177" s="1138">
        <f>O177</f>
        <v>1.0232705628091947</v>
      </c>
      <c r="Q177" s="1128"/>
    </row>
    <row r="178" spans="1:21" x14ac:dyDescent="0.2">
      <c r="A178" s="829"/>
      <c r="B178" s="829"/>
      <c r="C178" s="829"/>
      <c r="D178" s="829"/>
      <c r="E178" s="829"/>
      <c r="F178" s="1024"/>
      <c r="G178" s="1065">
        <v>2</v>
      </c>
      <c r="H178" s="1278" t="s">
        <v>1368</v>
      </c>
      <c r="I178" s="1026">
        <f>(L178/7.6)</f>
        <v>0</v>
      </c>
      <c r="J178" s="1026">
        <f>(M178/7.6)</f>
        <v>0</v>
      </c>
      <c r="K178" s="1026">
        <f>(N178/7.6)</f>
        <v>0</v>
      </c>
      <c r="L178" s="1274">
        <f>L201</f>
        <v>0</v>
      </c>
      <c r="M178" s="1274">
        <f>M201</f>
        <v>0</v>
      </c>
      <c r="N178" s="1274">
        <f>N201</f>
        <v>0</v>
      </c>
      <c r="O178" s="1137">
        <f>N178/$I$174</f>
        <v>0</v>
      </c>
      <c r="P178" s="1138">
        <f>P177+O178</f>
        <v>1.0232705628091947</v>
      </c>
    </row>
    <row r="179" spans="1:21" ht="63" customHeight="1" x14ac:dyDescent="0.2">
      <c r="A179" s="829"/>
      <c r="B179" s="829"/>
      <c r="C179" s="829"/>
      <c r="D179" s="829"/>
      <c r="E179" s="829"/>
      <c r="F179" s="1024"/>
      <c r="G179" s="1065">
        <v>3</v>
      </c>
      <c r="H179" s="1274" t="s">
        <v>1784</v>
      </c>
      <c r="I179" s="1026">
        <f t="shared" ref="I179:N179" si="28">N208</f>
        <v>74966375.586842105</v>
      </c>
      <c r="J179" s="1026">
        <f t="shared" si="28"/>
        <v>74966375.586842105</v>
      </c>
      <c r="K179" s="1026">
        <f t="shared" si="28"/>
        <v>63721419.248815797</v>
      </c>
      <c r="L179" s="1274">
        <f t="shared" si="28"/>
        <v>569744454.46000004</v>
      </c>
      <c r="M179" s="1274">
        <f t="shared" si="28"/>
        <v>569744454.46000004</v>
      </c>
      <c r="N179" s="1274">
        <f t="shared" si="28"/>
        <v>484282786.29100001</v>
      </c>
      <c r="O179" s="1137">
        <f>N179/$I$174</f>
        <v>0.35651242211285289</v>
      </c>
      <c r="P179" s="1138">
        <f>P178+O179</f>
        <v>1.3797829849220475</v>
      </c>
      <c r="Q179" s="1128"/>
      <c r="R179" s="1128"/>
    </row>
    <row r="180" spans="1:21" ht="40.5" customHeight="1" x14ac:dyDescent="0.2">
      <c r="A180" s="829"/>
      <c r="B180" s="829"/>
      <c r="C180" s="829"/>
      <c r="D180" s="829"/>
      <c r="E180" s="829"/>
      <c r="F180" s="1024"/>
      <c r="G180" s="1065">
        <v>4</v>
      </c>
      <c r="H180" s="1274" t="s">
        <v>1785</v>
      </c>
      <c r="I180" s="1026">
        <f t="shared" ref="I180:N180" si="29">L217</f>
        <v>0</v>
      </c>
      <c r="J180" s="1026">
        <f t="shared" si="29"/>
        <v>0</v>
      </c>
      <c r="K180" s="1026">
        <f t="shared" si="29"/>
        <v>0</v>
      </c>
      <c r="L180" s="1274">
        <f t="shared" si="29"/>
        <v>0</v>
      </c>
      <c r="M180" s="1274">
        <f t="shared" si="29"/>
        <v>0</v>
      </c>
      <c r="N180" s="1274">
        <f t="shared" si="29"/>
        <v>0</v>
      </c>
      <c r="O180" s="1137">
        <f>N180/$I$174</f>
        <v>0</v>
      </c>
      <c r="P180" s="1138">
        <f>P179+O180</f>
        <v>1.3797829849220475</v>
      </c>
      <c r="Q180" s="1128"/>
      <c r="R180" s="1128"/>
      <c r="S180" s="1128"/>
    </row>
    <row r="181" spans="1:21" x14ac:dyDescent="0.2">
      <c r="A181" s="829"/>
      <c r="B181" s="829"/>
      <c r="C181" s="829"/>
      <c r="D181" s="829"/>
      <c r="E181" s="829"/>
      <c r="F181" s="1024"/>
      <c r="G181" s="1025"/>
      <c r="H181" s="1037"/>
      <c r="I181" s="1037"/>
      <c r="J181" s="1037"/>
      <c r="K181" s="1037"/>
      <c r="L181" s="1038"/>
      <c r="M181" s="1038"/>
      <c r="N181" s="836"/>
      <c r="O181" s="834"/>
      <c r="P181" s="1128"/>
      <c r="Q181" s="1128"/>
      <c r="U181" s="1128"/>
    </row>
    <row r="182" spans="1:21" ht="15" x14ac:dyDescent="0.2">
      <c r="A182" s="829"/>
      <c r="B182" s="829"/>
      <c r="C182" s="829"/>
      <c r="D182" s="829"/>
      <c r="E182" s="829"/>
      <c r="F182" s="1024"/>
      <c r="G182" s="1025"/>
      <c r="H182" s="1393" t="s">
        <v>1375</v>
      </c>
      <c r="I182" s="1394"/>
      <c r="J182" s="1394"/>
      <c r="K182" s="1396"/>
      <c r="L182" s="1037"/>
      <c r="M182" s="1037"/>
      <c r="N182" s="1037"/>
      <c r="O182" s="1037"/>
      <c r="P182" s="1038"/>
      <c r="Q182" s="1038"/>
      <c r="R182" s="836"/>
      <c r="S182" s="834"/>
      <c r="T182" s="1128"/>
      <c r="U182" s="1128"/>
    </row>
    <row r="183" spans="1:21" ht="89.25" x14ac:dyDescent="0.2">
      <c r="A183" s="1041" t="s">
        <v>1376</v>
      </c>
      <c r="B183" s="1041" t="s">
        <v>1377</v>
      </c>
      <c r="C183" s="1041" t="s">
        <v>1378</v>
      </c>
      <c r="D183" s="1041" t="s">
        <v>1379</v>
      </c>
      <c r="E183" s="1041" t="s">
        <v>1380</v>
      </c>
      <c r="F183" s="1042" t="s">
        <v>1381</v>
      </c>
      <c r="G183" s="1043"/>
      <c r="H183" s="1274" t="s">
        <v>1382</v>
      </c>
      <c r="I183" s="1026" t="s">
        <v>1355</v>
      </c>
      <c r="J183" s="1026" t="s">
        <v>1356</v>
      </c>
      <c r="K183" s="1026" t="s">
        <v>1357</v>
      </c>
      <c r="L183" s="1274" t="s">
        <v>1358</v>
      </c>
      <c r="M183" s="1274" t="s">
        <v>1359</v>
      </c>
      <c r="N183" s="1274" t="s">
        <v>1360</v>
      </c>
      <c r="O183" s="1274" t="s">
        <v>1786</v>
      </c>
      <c r="P183" s="836"/>
      <c r="Q183" s="836"/>
      <c r="R183" s="836"/>
      <c r="S183" s="834"/>
      <c r="T183" s="1128"/>
      <c r="U183" s="1128"/>
    </row>
    <row r="184" spans="1:21" ht="63" customHeight="1" x14ac:dyDescent="0.2">
      <c r="A184" s="1045" t="s">
        <v>1426</v>
      </c>
      <c r="B184" s="1062" t="s">
        <v>1787</v>
      </c>
      <c r="C184" s="1062" t="s">
        <v>1788</v>
      </c>
      <c r="D184" s="1045" t="s">
        <v>1569</v>
      </c>
      <c r="E184" s="1062" t="s">
        <v>1547</v>
      </c>
      <c r="F184" s="1047" t="s">
        <v>1789</v>
      </c>
      <c r="G184" s="1139">
        <v>1</v>
      </c>
      <c r="H184" s="1140" t="s">
        <v>1790</v>
      </c>
      <c r="I184" s="1026">
        <v>5013075.66</v>
      </c>
      <c r="J184" s="1026">
        <f>I184</f>
        <v>5013075.66</v>
      </c>
      <c r="K184" s="1026">
        <v>4261114.3099999996</v>
      </c>
      <c r="L184" s="1274">
        <v>38099375</v>
      </c>
      <c r="M184" s="1274">
        <f>L184</f>
        <v>38099375</v>
      </c>
      <c r="N184" s="1274">
        <v>32384468.75</v>
      </c>
      <c r="O184" s="1036">
        <v>25751829.469999999</v>
      </c>
      <c r="P184" s="1141"/>
      <c r="Q184" s="1038"/>
      <c r="R184" s="836"/>
      <c r="S184" s="834"/>
      <c r="T184" s="1128"/>
      <c r="U184" s="1128"/>
    </row>
    <row r="185" spans="1:21" ht="66.75" customHeight="1" x14ac:dyDescent="0.2">
      <c r="A185" s="1283" t="s">
        <v>1791</v>
      </c>
      <c r="B185" s="1283" t="s">
        <v>1792</v>
      </c>
      <c r="C185" s="1045" t="s">
        <v>1793</v>
      </c>
      <c r="D185" s="1045" t="s">
        <v>1569</v>
      </c>
      <c r="E185" s="1045" t="s">
        <v>1794</v>
      </c>
      <c r="F185" s="1047" t="s">
        <v>1795</v>
      </c>
      <c r="G185" s="1077">
        <v>2</v>
      </c>
      <c r="H185" s="1274" t="s">
        <v>1796</v>
      </c>
      <c r="I185" s="1026">
        <v>8593177.1500000004</v>
      </c>
      <c r="J185" s="1026">
        <f>L185/7.6</f>
        <v>8593177.1500000004</v>
      </c>
      <c r="K185" s="1026">
        <f t="shared" ref="K185:K193" si="30">N185/7.6</f>
        <v>7304200.5776315797</v>
      </c>
      <c r="L185" s="1274">
        <v>65308146.340000004</v>
      </c>
      <c r="M185" s="1274">
        <v>65308146.340000004</v>
      </c>
      <c r="N185" s="1274">
        <v>55511924.390000001</v>
      </c>
      <c r="O185" s="1036">
        <v>67114.59</v>
      </c>
      <c r="P185" s="1038"/>
      <c r="Q185" s="1038"/>
      <c r="R185" s="836"/>
      <c r="S185" s="834"/>
      <c r="T185" s="1128"/>
    </row>
    <row r="186" spans="1:21" ht="46.5" customHeight="1" x14ac:dyDescent="0.2">
      <c r="A186" s="1283" t="s">
        <v>1797</v>
      </c>
      <c r="B186" s="1283" t="s">
        <v>1798</v>
      </c>
      <c r="C186" s="1062" t="s">
        <v>1793</v>
      </c>
      <c r="D186" s="1045" t="s">
        <v>1569</v>
      </c>
      <c r="E186" s="1045" t="s">
        <v>1794</v>
      </c>
      <c r="F186" s="1047" t="s">
        <v>1795</v>
      </c>
      <c r="G186" s="1077">
        <v>3</v>
      </c>
      <c r="H186" s="1274" t="s">
        <v>1799</v>
      </c>
      <c r="I186" s="1026">
        <f t="shared" ref="I186:J188" si="31">L186/7.6</f>
        <v>1908812.6789473684</v>
      </c>
      <c r="J186" s="1026">
        <f t="shared" si="31"/>
        <v>1908812.6789473684</v>
      </c>
      <c r="K186" s="1026">
        <f t="shared" si="30"/>
        <v>1622490.777631579</v>
      </c>
      <c r="L186" s="1274">
        <v>14506976.359999999</v>
      </c>
      <c r="M186" s="1274">
        <v>14506976.359999999</v>
      </c>
      <c r="N186" s="1274">
        <v>12330929.91</v>
      </c>
      <c r="O186" s="1036">
        <v>431314.29999999993</v>
      </c>
      <c r="P186" s="1038"/>
      <c r="Q186" s="1038"/>
      <c r="R186" s="836"/>
      <c r="S186" s="834"/>
      <c r="T186" s="1128"/>
    </row>
    <row r="187" spans="1:21" ht="63" customHeight="1" x14ac:dyDescent="0.2">
      <c r="A187" s="1283" t="s">
        <v>1800</v>
      </c>
      <c r="B187" s="1283" t="s">
        <v>1503</v>
      </c>
      <c r="C187" s="1062" t="s">
        <v>1543</v>
      </c>
      <c r="D187" s="1045" t="s">
        <v>1569</v>
      </c>
      <c r="E187" s="1045" t="s">
        <v>1801</v>
      </c>
      <c r="F187" s="1047" t="s">
        <v>1802</v>
      </c>
      <c r="G187" s="1077">
        <v>4</v>
      </c>
      <c r="H187" s="1140" t="s">
        <v>1803</v>
      </c>
      <c r="I187" s="1026">
        <f t="shared" si="31"/>
        <v>4888157.8947368423</v>
      </c>
      <c r="J187" s="1026">
        <f t="shared" si="31"/>
        <v>4888157.8947368423</v>
      </c>
      <c r="K187" s="1026">
        <f t="shared" si="30"/>
        <v>4154934.210526316</v>
      </c>
      <c r="L187" s="1274">
        <v>37150000</v>
      </c>
      <c r="M187" s="1274">
        <v>37150000</v>
      </c>
      <c r="N187" s="1274">
        <v>31577500</v>
      </c>
      <c r="O187" s="1278">
        <v>30606193.309999999</v>
      </c>
      <c r="P187" s="1038"/>
      <c r="Q187" s="1038"/>
      <c r="R187" s="836"/>
      <c r="S187" s="834"/>
      <c r="T187" s="1128"/>
    </row>
    <row r="188" spans="1:21" ht="62.25" customHeight="1" x14ac:dyDescent="0.2">
      <c r="A188" s="1283" t="s">
        <v>1804</v>
      </c>
      <c r="B188" s="1283" t="s">
        <v>1503</v>
      </c>
      <c r="C188" s="1062" t="s">
        <v>1543</v>
      </c>
      <c r="D188" s="1045" t="s">
        <v>1569</v>
      </c>
      <c r="E188" s="1045" t="s">
        <v>1801</v>
      </c>
      <c r="F188" s="1047" t="s">
        <v>1805</v>
      </c>
      <c r="G188" s="1077">
        <v>5</v>
      </c>
      <c r="H188" s="1274" t="s">
        <v>1806</v>
      </c>
      <c r="I188" s="1026">
        <f t="shared" si="31"/>
        <v>33718421.052631579</v>
      </c>
      <c r="J188" s="1026">
        <f t="shared" si="31"/>
        <v>33718421.052631579</v>
      </c>
      <c r="K188" s="1026">
        <f t="shared" si="30"/>
        <v>28660657.894736845</v>
      </c>
      <c r="L188" s="1274">
        <v>256260000</v>
      </c>
      <c r="M188" s="1274">
        <v>256260000</v>
      </c>
      <c r="N188" s="1274">
        <v>217821000</v>
      </c>
      <c r="O188" s="1278">
        <v>10194767.4</v>
      </c>
      <c r="P188" s="1038"/>
      <c r="Q188" s="1038"/>
      <c r="R188" s="836"/>
      <c r="S188" s="834"/>
      <c r="T188" s="1128"/>
    </row>
    <row r="189" spans="1:21" ht="67.5" customHeight="1" x14ac:dyDescent="0.2">
      <c r="A189" s="1285" t="s">
        <v>1800</v>
      </c>
      <c r="B189" s="1285" t="s">
        <v>1807</v>
      </c>
      <c r="C189" s="1285" t="s">
        <v>1690</v>
      </c>
      <c r="D189" s="1285" t="s">
        <v>1537</v>
      </c>
      <c r="E189" s="1285" t="s">
        <v>1808</v>
      </c>
      <c r="F189" s="1061" t="s">
        <v>1809</v>
      </c>
      <c r="G189" s="1139">
        <v>6</v>
      </c>
      <c r="H189" s="1274" t="s">
        <v>1810</v>
      </c>
      <c r="I189" s="1026">
        <f>J189</f>
        <v>48650529.625</v>
      </c>
      <c r="J189" s="1026">
        <f>M189/7.6</f>
        <v>48650529.625</v>
      </c>
      <c r="K189" s="1026">
        <f t="shared" si="30"/>
        <v>41352950.180263162</v>
      </c>
      <c r="L189" s="1142">
        <v>369744025.14999998</v>
      </c>
      <c r="M189" s="1142">
        <f t="shared" ref="M189:M194" si="32">L189</f>
        <v>369744025.14999998</v>
      </c>
      <c r="N189" s="1142">
        <v>314282421.37</v>
      </c>
      <c r="O189" s="1292">
        <v>184728026.07999998</v>
      </c>
      <c r="P189" s="1038"/>
      <c r="Q189" s="1038"/>
      <c r="R189" s="836"/>
      <c r="S189" s="834"/>
      <c r="T189" s="1128"/>
    </row>
    <row r="190" spans="1:21" ht="25.5" x14ac:dyDescent="0.2">
      <c r="A190" s="1144" t="s">
        <v>1587</v>
      </c>
      <c r="B190" s="1285" t="s">
        <v>1811</v>
      </c>
      <c r="C190" s="1285" t="s">
        <v>1812</v>
      </c>
      <c r="D190" s="1285" t="s">
        <v>1569</v>
      </c>
      <c r="E190" s="1285" t="s">
        <v>1813</v>
      </c>
      <c r="F190" s="1061" t="s">
        <v>1814</v>
      </c>
      <c r="G190" s="1077">
        <v>7</v>
      </c>
      <c r="H190" s="1034" t="s">
        <v>1815</v>
      </c>
      <c r="I190" s="1026">
        <f>L190/7.6</f>
        <v>3932511.9157894738</v>
      </c>
      <c r="J190" s="1026">
        <f>M190/7.6</f>
        <v>3932511.9157894738</v>
      </c>
      <c r="K190" s="1026">
        <f t="shared" si="30"/>
        <v>3342635.1276315791</v>
      </c>
      <c r="L190" s="1142">
        <v>29887090.559999999</v>
      </c>
      <c r="M190" s="1142">
        <f t="shared" si="32"/>
        <v>29887090.559999999</v>
      </c>
      <c r="N190" s="1142">
        <v>25404026.969999999</v>
      </c>
      <c r="O190" s="1143">
        <v>3907576.7</v>
      </c>
      <c r="P190" s="1038"/>
      <c r="Q190" s="1038"/>
      <c r="R190" s="836"/>
      <c r="S190" s="834"/>
      <c r="T190" s="1128"/>
    </row>
    <row r="191" spans="1:21" ht="86.25" customHeight="1" x14ac:dyDescent="0.2">
      <c r="A191" s="1144" t="s">
        <v>1816</v>
      </c>
      <c r="B191" s="1285" t="s">
        <v>1817</v>
      </c>
      <c r="C191" s="1285" t="s">
        <v>1818</v>
      </c>
      <c r="D191" s="1285" t="s">
        <v>1569</v>
      </c>
      <c r="E191" s="1285" t="s">
        <v>1819</v>
      </c>
      <c r="F191" s="1061" t="s">
        <v>1820</v>
      </c>
      <c r="G191" s="1139">
        <v>8</v>
      </c>
      <c r="H191" s="1034" t="s">
        <v>1821</v>
      </c>
      <c r="I191" s="1026">
        <f>L191/7.6</f>
        <v>32907966.447368424</v>
      </c>
      <c r="J191" s="1026">
        <f>M191/7.6</f>
        <v>32907966.447368424</v>
      </c>
      <c r="K191" s="1026">
        <f t="shared" si="30"/>
        <v>27971771.47763158</v>
      </c>
      <c r="L191" s="1284">
        <v>250100545</v>
      </c>
      <c r="M191" s="1284">
        <f t="shared" si="32"/>
        <v>250100545</v>
      </c>
      <c r="N191" s="1142">
        <v>212585463.22999999</v>
      </c>
      <c r="O191" s="1143">
        <v>32022923.119999997</v>
      </c>
      <c r="P191" s="1038"/>
      <c r="Q191" s="1038"/>
      <c r="R191" s="836"/>
      <c r="S191" s="834"/>
      <c r="T191" s="1128"/>
    </row>
    <row r="192" spans="1:21" ht="86.25" customHeight="1" x14ac:dyDescent="0.2">
      <c r="A192" s="1144" t="s">
        <v>1822</v>
      </c>
      <c r="B192" s="1144" t="s">
        <v>1823</v>
      </c>
      <c r="C192" s="1144" t="s">
        <v>1824</v>
      </c>
      <c r="D192" s="1144" t="s">
        <v>1825</v>
      </c>
      <c r="E192" s="1285" t="s">
        <v>1826</v>
      </c>
      <c r="F192" s="1061" t="s">
        <v>1722</v>
      </c>
      <c r="G192" s="1139">
        <v>9</v>
      </c>
      <c r="H192" s="1034" t="s">
        <v>1827</v>
      </c>
      <c r="I192" s="1026">
        <f>L192/7.6</f>
        <v>24498984.342105266</v>
      </c>
      <c r="J192" s="1026">
        <f>M192/7.6</f>
        <v>24498984.342105266</v>
      </c>
      <c r="K192" s="1026">
        <f t="shared" si="30"/>
        <v>20824136.690789472</v>
      </c>
      <c r="L192" s="1284">
        <v>186192281</v>
      </c>
      <c r="M192" s="1284">
        <f t="shared" si="32"/>
        <v>186192281</v>
      </c>
      <c r="N192" s="1142">
        <f>M192*0.85</f>
        <v>158263438.84999999</v>
      </c>
      <c r="O192" s="1143">
        <v>28717527.949999999</v>
      </c>
      <c r="P192" s="1038"/>
      <c r="Q192" s="1038"/>
      <c r="R192" s="836"/>
      <c r="S192" s="834"/>
      <c r="T192" s="1128"/>
    </row>
    <row r="193" spans="1:25" ht="86.25" customHeight="1" x14ac:dyDescent="0.2">
      <c r="A193" s="1144" t="s">
        <v>1828</v>
      </c>
      <c r="B193" s="1144" t="s">
        <v>1829</v>
      </c>
      <c r="C193" s="1144" t="s">
        <v>1693</v>
      </c>
      <c r="D193" s="1144" t="s">
        <v>1245</v>
      </c>
      <c r="E193" s="1285" t="s">
        <v>1830</v>
      </c>
      <c r="F193" s="1061" t="s">
        <v>1831</v>
      </c>
      <c r="G193" s="1077">
        <v>10</v>
      </c>
      <c r="H193" s="1034" t="s">
        <v>2092</v>
      </c>
      <c r="I193" s="1026">
        <f>L193/7.6</f>
        <v>17769191.013157893</v>
      </c>
      <c r="J193" s="1026">
        <f>M193/7.6</f>
        <v>17769191.013157893</v>
      </c>
      <c r="K193" s="1026">
        <f t="shared" si="30"/>
        <v>15103812.359210528</v>
      </c>
      <c r="L193" s="1284">
        <v>135045851.69999999</v>
      </c>
      <c r="M193" s="1284">
        <f t="shared" si="32"/>
        <v>135045851.69999999</v>
      </c>
      <c r="N193" s="1142">
        <v>114788973.93000001</v>
      </c>
      <c r="O193" s="1143">
        <v>2141802.4900000002</v>
      </c>
      <c r="P193" s="1038"/>
      <c r="Q193" s="1038"/>
      <c r="R193" s="836"/>
      <c r="S193" s="834"/>
      <c r="T193" s="1128"/>
    </row>
    <row r="194" spans="1:25" ht="86.25" customHeight="1" x14ac:dyDescent="0.2">
      <c r="A194" s="1144" t="s">
        <v>1832</v>
      </c>
      <c r="B194" s="1144" t="s">
        <v>1833</v>
      </c>
      <c r="C194" s="1144" t="s">
        <v>1834</v>
      </c>
      <c r="D194" s="1144" t="s">
        <v>1245</v>
      </c>
      <c r="E194" s="1285" t="s">
        <v>1835</v>
      </c>
      <c r="F194" s="1061" t="s">
        <v>1836</v>
      </c>
      <c r="G194" s="1077">
        <v>11</v>
      </c>
      <c r="H194" s="1034" t="s">
        <v>1837</v>
      </c>
      <c r="I194" s="1026">
        <v>8289473.6799999997</v>
      </c>
      <c r="J194" s="1026">
        <f>I194</f>
        <v>8289473.6799999997</v>
      </c>
      <c r="K194" s="1026">
        <f>J194*0.85</f>
        <v>7046052.6279999996</v>
      </c>
      <c r="L194" s="1284">
        <v>63000000</v>
      </c>
      <c r="M194" s="1278">
        <f t="shared" si="32"/>
        <v>63000000</v>
      </c>
      <c r="N194" s="1278">
        <f>M194*0.85</f>
        <v>53550000</v>
      </c>
      <c r="O194" s="1143"/>
      <c r="P194" s="1038"/>
      <c r="Q194" s="1038"/>
      <c r="R194" s="836"/>
      <c r="S194" s="834"/>
      <c r="T194" s="1128"/>
    </row>
    <row r="195" spans="1:25" ht="86.25" customHeight="1" x14ac:dyDescent="0.2">
      <c r="A195" s="1145">
        <v>44081</v>
      </c>
      <c r="B195" s="1069" t="s">
        <v>1838</v>
      </c>
      <c r="C195" s="1069" t="s">
        <v>1839</v>
      </c>
      <c r="D195" s="1285" t="s">
        <v>1245</v>
      </c>
      <c r="E195" s="1285" t="s">
        <v>1840</v>
      </c>
      <c r="F195" s="1061" t="s">
        <v>1841</v>
      </c>
      <c r="G195" s="1077">
        <v>12</v>
      </c>
      <c r="H195" s="1272" t="s">
        <v>1842</v>
      </c>
      <c r="I195" s="1026">
        <f>L195/7.6</f>
        <v>25000000</v>
      </c>
      <c r="J195" s="1026">
        <f>M195/7.6</f>
        <v>25000000</v>
      </c>
      <c r="K195" s="1026">
        <f>N195/7.6</f>
        <v>21250000</v>
      </c>
      <c r="L195" s="1146">
        <v>190000000</v>
      </c>
      <c r="M195" s="1146">
        <v>190000000</v>
      </c>
      <c r="N195" s="1146">
        <v>161500000</v>
      </c>
      <c r="O195" s="1143"/>
      <c r="P195" s="1038"/>
      <c r="Q195" s="1038"/>
      <c r="R195" s="836"/>
      <c r="S195" s="834"/>
      <c r="T195" s="1128"/>
    </row>
    <row r="196" spans="1:25" ht="15.75" x14ac:dyDescent="0.2">
      <c r="A196" s="1062"/>
      <c r="B196" s="1062"/>
      <c r="C196" s="1062"/>
      <c r="D196" s="1062"/>
      <c r="E196" s="1062"/>
      <c r="F196" s="1061"/>
      <c r="G196" s="1065"/>
      <c r="H196" s="1147" t="s">
        <v>294</v>
      </c>
      <c r="I196" s="1026">
        <f>SUM(I184:I195)</f>
        <v>215170301.45973685</v>
      </c>
      <c r="J196" s="1026">
        <f t="shared" ref="J196:N196" si="33">SUM(J184:J195)</f>
        <v>215170301.45973685</v>
      </c>
      <c r="K196" s="1026">
        <f t="shared" si="33"/>
        <v>182894756.23405263</v>
      </c>
      <c r="L196" s="1026">
        <f t="shared" si="33"/>
        <v>1635294291.1099999</v>
      </c>
      <c r="M196" s="1026">
        <f t="shared" si="33"/>
        <v>1635294291.1099999</v>
      </c>
      <c r="N196" s="1026">
        <f t="shared" si="33"/>
        <v>1390000147.4000001</v>
      </c>
      <c r="O196" s="833">
        <f>SUM(O184:O194)</f>
        <v>318569075.40999997</v>
      </c>
      <c r="P196" s="1148"/>
      <c r="Q196" s="1038"/>
      <c r="R196" s="836"/>
      <c r="S196" s="834"/>
      <c r="T196" s="1128"/>
    </row>
    <row r="197" spans="1:25" ht="39" customHeight="1" x14ac:dyDescent="0.2">
      <c r="G197" s="1025"/>
      <c r="H197" s="1275"/>
      <c r="I197" s="1276"/>
      <c r="J197" s="1276"/>
      <c r="K197" s="1277"/>
      <c r="L197" s="1037"/>
      <c r="M197" s="1037"/>
      <c r="N197" s="1037"/>
      <c r="O197" s="1037"/>
      <c r="P197" s="1038"/>
      <c r="Q197" s="1038"/>
      <c r="R197" s="836"/>
      <c r="S197" s="834"/>
      <c r="T197" s="1128"/>
    </row>
    <row r="198" spans="1:25" ht="15" customHeight="1" x14ac:dyDescent="0.2">
      <c r="A198" s="829"/>
      <c r="B198" s="829"/>
      <c r="C198" s="829"/>
      <c r="D198" s="829"/>
      <c r="E198" s="829"/>
      <c r="F198" s="1024"/>
      <c r="H198" s="1427" t="s">
        <v>1714</v>
      </c>
      <c r="I198" s="1427"/>
      <c r="J198" s="1427"/>
      <c r="K198" s="1037"/>
      <c r="L198" s="1038"/>
      <c r="M198" s="1038"/>
      <c r="N198" s="836"/>
      <c r="O198" s="834"/>
      <c r="P198" s="1128"/>
      <c r="Q198" s="1128"/>
    </row>
    <row r="199" spans="1:25" ht="36" customHeight="1" x14ac:dyDescent="0.2">
      <c r="A199" s="1041" t="s">
        <v>1376</v>
      </c>
      <c r="B199" s="1041" t="s">
        <v>1377</v>
      </c>
      <c r="C199" s="1041" t="s">
        <v>1378</v>
      </c>
      <c r="D199" s="1041" t="s">
        <v>1379</v>
      </c>
      <c r="E199" s="1041" t="s">
        <v>1380</v>
      </c>
      <c r="F199" s="1061"/>
      <c r="G199" s="1065"/>
      <c r="H199" s="1274" t="s">
        <v>1382</v>
      </c>
      <c r="I199" s="1026" t="s">
        <v>1355</v>
      </c>
      <c r="J199" s="1026" t="s">
        <v>1356</v>
      </c>
      <c r="K199" s="1026" t="s">
        <v>1357</v>
      </c>
      <c r="L199" s="1274" t="s">
        <v>1358</v>
      </c>
      <c r="M199" s="1274" t="s">
        <v>1359</v>
      </c>
      <c r="N199" s="1274" t="s">
        <v>1360</v>
      </c>
      <c r="O199" s="1151" t="s">
        <v>111</v>
      </c>
      <c r="P199" s="1128"/>
    </row>
    <row r="200" spans="1:25" ht="28.5" customHeight="1" x14ac:dyDescent="0.2">
      <c r="A200" s="1145"/>
      <c r="B200" s="1069"/>
      <c r="C200" s="1069"/>
      <c r="D200" s="1285"/>
      <c r="E200" s="1285"/>
      <c r="F200" s="1061"/>
      <c r="G200" s="1065"/>
      <c r="H200" s="1272"/>
      <c r="I200" s="1049"/>
      <c r="J200" s="1049"/>
      <c r="K200" s="1049"/>
      <c r="L200" s="1152"/>
      <c r="M200" s="1152"/>
      <c r="N200" s="1152"/>
      <c r="O200" s="1058"/>
      <c r="P200" s="1153"/>
    </row>
    <row r="201" spans="1:25" ht="39.75" customHeight="1" x14ac:dyDescent="0.2">
      <c r="A201" s="1062"/>
      <c r="B201" s="1062"/>
      <c r="C201" s="1062"/>
      <c r="D201" s="1062"/>
      <c r="E201" s="1062"/>
      <c r="F201" s="1061"/>
      <c r="G201" s="1065"/>
      <c r="H201" s="1154" t="s">
        <v>294</v>
      </c>
      <c r="I201" s="1026">
        <f>SUM(I200)</f>
        <v>0</v>
      </c>
      <c r="J201" s="1026">
        <f t="shared" ref="J201:N201" si="34">SUM(J200)</f>
        <v>0</v>
      </c>
      <c r="K201" s="1026">
        <f t="shared" si="34"/>
        <v>0</v>
      </c>
      <c r="L201" s="1026">
        <f t="shared" si="34"/>
        <v>0</v>
      </c>
      <c r="M201" s="1026">
        <f t="shared" si="34"/>
        <v>0</v>
      </c>
      <c r="N201" s="1026">
        <f t="shared" si="34"/>
        <v>0</v>
      </c>
      <c r="O201" s="1062"/>
      <c r="P201" s="1128"/>
      <c r="Q201" s="1128"/>
    </row>
    <row r="202" spans="1:25" ht="22.5" customHeight="1" x14ac:dyDescent="0.2">
      <c r="G202" s="1025"/>
      <c r="H202" s="1287"/>
      <c r="I202" s="1288"/>
      <c r="J202" s="1288"/>
      <c r="K202" s="1037"/>
      <c r="L202" s="1118"/>
      <c r="M202" s="1038"/>
      <c r="N202" s="836"/>
      <c r="O202" s="834"/>
      <c r="P202" s="1128"/>
      <c r="Q202" s="1128"/>
    </row>
    <row r="203" spans="1:25" ht="15.75" x14ac:dyDescent="0.2">
      <c r="A203" s="829"/>
      <c r="B203" s="829"/>
      <c r="C203" s="829"/>
      <c r="D203" s="829"/>
      <c r="E203" s="829"/>
      <c r="F203" s="1024"/>
      <c r="G203" s="1155"/>
      <c r="H203" s="1201" t="s">
        <v>1843</v>
      </c>
      <c r="I203" s="1276"/>
      <c r="J203" s="1276"/>
      <c r="K203" s="1037"/>
      <c r="L203" s="1038"/>
      <c r="M203" s="1038"/>
      <c r="N203" s="836"/>
      <c r="O203" s="834"/>
      <c r="P203" s="1128"/>
      <c r="Q203" s="1128"/>
    </row>
    <row r="204" spans="1:25" ht="18.75" hidden="1" x14ac:dyDescent="0.2">
      <c r="A204" s="829"/>
      <c r="B204" s="829"/>
      <c r="C204" s="829"/>
      <c r="D204" s="829"/>
      <c r="E204" s="829"/>
      <c r="F204" s="1024"/>
      <c r="G204" s="1025"/>
      <c r="H204" s="1202" t="s">
        <v>1715</v>
      </c>
      <c r="I204" s="1156"/>
      <c r="J204" s="1156"/>
      <c r="K204" s="1156"/>
      <c r="L204" s="1038"/>
      <c r="M204" s="1156"/>
      <c r="N204" s="1156"/>
      <c r="O204" s="1156"/>
      <c r="P204" s="1156"/>
      <c r="Q204" s="1128"/>
    </row>
    <row r="205" spans="1:25" ht="79.5" customHeight="1" x14ac:dyDescent="0.2">
      <c r="A205" s="829"/>
      <c r="B205" s="829"/>
      <c r="C205" s="829"/>
      <c r="D205" s="829"/>
      <c r="E205" s="829"/>
      <c r="F205" s="1024"/>
      <c r="G205" s="1157"/>
      <c r="H205" s="1034" t="s">
        <v>1382</v>
      </c>
      <c r="I205" s="1027" t="s">
        <v>1376</v>
      </c>
      <c r="J205" s="1027" t="s">
        <v>1377</v>
      </c>
      <c r="K205" s="1027" t="s">
        <v>1378</v>
      </c>
      <c r="L205" s="1027" t="s">
        <v>1379</v>
      </c>
      <c r="M205" s="1027" t="s">
        <v>1716</v>
      </c>
      <c r="N205" s="1026" t="s">
        <v>1355</v>
      </c>
      <c r="O205" s="1026" t="s">
        <v>1356</v>
      </c>
      <c r="P205" s="1026" t="s">
        <v>1357</v>
      </c>
      <c r="Q205" s="1274" t="s">
        <v>1358</v>
      </c>
      <c r="R205" s="1274" t="s">
        <v>1359</v>
      </c>
      <c r="S205" s="1274" t="s">
        <v>1360</v>
      </c>
      <c r="T205" s="1402" t="s">
        <v>75</v>
      </c>
      <c r="U205" s="1402"/>
      <c r="V205" s="1402"/>
      <c r="W205" s="1402"/>
      <c r="X205" s="1402"/>
      <c r="Y205" s="1402"/>
    </row>
    <row r="206" spans="1:25" ht="155.25" customHeight="1" x14ac:dyDescent="0.2">
      <c r="A206" s="829"/>
      <c r="B206" s="829"/>
      <c r="C206" s="829"/>
      <c r="D206" s="829"/>
      <c r="E206" s="829"/>
      <c r="F206" s="1024"/>
      <c r="G206" s="1157" t="s">
        <v>1844</v>
      </c>
      <c r="H206" s="1274" t="s">
        <v>1845</v>
      </c>
      <c r="I206" s="1144" t="s">
        <v>1846</v>
      </c>
      <c r="J206" s="1069" t="s">
        <v>1847</v>
      </c>
      <c r="K206" s="1069"/>
      <c r="L206" s="1069" t="s">
        <v>1245</v>
      </c>
      <c r="M206" s="1144" t="s">
        <v>1848</v>
      </c>
      <c r="N206" s="1049">
        <f>Q206/7.6</f>
        <v>765572.3684210527</v>
      </c>
      <c r="O206" s="1049">
        <f t="shared" ref="O206:P207" si="35">R206/7.6</f>
        <v>765572.3684210527</v>
      </c>
      <c r="P206" s="1049">
        <f t="shared" si="35"/>
        <v>650736.51315789472</v>
      </c>
      <c r="Q206" s="1056">
        <v>5818350</v>
      </c>
      <c r="R206" s="1283">
        <v>5818350</v>
      </c>
      <c r="S206" s="1283">
        <f>R206*0.85</f>
        <v>4945597.5</v>
      </c>
      <c r="T206" s="1420" t="s">
        <v>2106</v>
      </c>
      <c r="U206" s="1420"/>
      <c r="V206" s="1420"/>
      <c r="W206" s="1420"/>
      <c r="X206" s="1420"/>
      <c r="Y206" s="1420"/>
    </row>
    <row r="207" spans="1:25" ht="268.5" customHeight="1" x14ac:dyDescent="0.2">
      <c r="A207" s="829"/>
      <c r="B207" s="829"/>
      <c r="C207" s="829"/>
      <c r="D207" s="829"/>
      <c r="E207" s="829"/>
      <c r="F207" s="1024"/>
      <c r="G207" s="1158">
        <v>2</v>
      </c>
      <c r="H207" s="1274" t="s">
        <v>1849</v>
      </c>
      <c r="I207" s="1145" t="s">
        <v>1850</v>
      </c>
      <c r="J207" s="1069" t="s">
        <v>77</v>
      </c>
      <c r="K207" s="1069"/>
      <c r="L207" s="1069" t="s">
        <v>2046</v>
      </c>
      <c r="M207" s="1293" t="s">
        <v>2133</v>
      </c>
      <c r="N207" s="1049">
        <f>Q207/7.6</f>
        <v>74200803.218421057</v>
      </c>
      <c r="O207" s="1049">
        <f t="shared" si="35"/>
        <v>74200803.218421057</v>
      </c>
      <c r="P207" s="1049">
        <f t="shared" si="35"/>
        <v>63070682.735657901</v>
      </c>
      <c r="Q207" s="1056">
        <v>563926104.46000004</v>
      </c>
      <c r="R207" s="1056">
        <f>Q207</f>
        <v>563926104.46000004</v>
      </c>
      <c r="S207" s="1056">
        <f>Q207*0.85</f>
        <v>479337188.79100001</v>
      </c>
      <c r="T207" s="1420" t="s">
        <v>2140</v>
      </c>
      <c r="U207" s="1420"/>
      <c r="V207" s="1420"/>
      <c r="W207" s="1420"/>
      <c r="X207" s="1420"/>
      <c r="Y207" s="1420"/>
    </row>
    <row r="208" spans="1:25" ht="48" customHeight="1" x14ac:dyDescent="0.2">
      <c r="A208" s="829"/>
      <c r="B208" s="829"/>
      <c r="C208" s="829"/>
      <c r="D208" s="829"/>
      <c r="E208" s="829"/>
      <c r="F208" s="1024"/>
      <c r="G208" s="1157"/>
      <c r="H208" s="1282" t="s">
        <v>294</v>
      </c>
      <c r="I208" s="1027"/>
      <c r="J208" s="1027"/>
      <c r="K208" s="1027"/>
      <c r="L208" s="1144"/>
      <c r="M208" s="1027"/>
      <c r="N208" s="1026">
        <f t="shared" ref="N208:S208" si="36">SUM(N206:N207)</f>
        <v>74966375.586842105</v>
      </c>
      <c r="O208" s="1026">
        <f t="shared" si="36"/>
        <v>74966375.586842105</v>
      </c>
      <c r="P208" s="1026">
        <f t="shared" si="36"/>
        <v>63721419.248815797</v>
      </c>
      <c r="Q208" s="1284">
        <f t="shared" si="36"/>
        <v>569744454.46000004</v>
      </c>
      <c r="R208" s="1284">
        <f t="shared" si="36"/>
        <v>569744454.46000004</v>
      </c>
      <c r="S208" s="1284">
        <f t="shared" si="36"/>
        <v>484282786.29100001</v>
      </c>
      <c r="T208" s="1402"/>
      <c r="U208" s="1402"/>
      <c r="V208" s="1402"/>
      <c r="W208" s="1402"/>
      <c r="X208" s="1402"/>
      <c r="Y208" s="1402"/>
    </row>
    <row r="209" spans="1:20" ht="12.75" hidden="1" customHeight="1" x14ac:dyDescent="0.2">
      <c r="A209" s="829"/>
      <c r="B209" s="829"/>
      <c r="C209" s="829"/>
      <c r="D209" s="829"/>
      <c r="E209" s="829"/>
      <c r="F209" s="1024"/>
      <c r="G209" s="1025"/>
      <c r="H209" s="1037"/>
      <c r="I209" s="1037"/>
      <c r="J209" s="1037"/>
      <c r="K209" s="1037"/>
      <c r="L209" s="1037"/>
      <c r="M209" s="1118"/>
      <c r="N209" s="1118"/>
      <c r="O209" s="1037"/>
      <c r="P209" s="1037"/>
      <c r="Q209" s="1037"/>
      <c r="R209" s="1037"/>
    </row>
    <row r="210" spans="1:20" ht="18.75" hidden="1" customHeight="1" x14ac:dyDescent="0.2">
      <c r="A210" s="829"/>
      <c r="B210" s="829"/>
      <c r="C210" s="829"/>
      <c r="D210" s="829"/>
      <c r="E210" s="829"/>
      <c r="F210" s="1024"/>
      <c r="G210" s="1025"/>
      <c r="H210" s="1202" t="s">
        <v>1851</v>
      </c>
      <c r="I210" s="1156"/>
      <c r="J210" s="1156"/>
      <c r="K210" s="1156"/>
      <c r="L210" s="1037"/>
      <c r="M210" s="1156"/>
      <c r="N210" s="1156"/>
      <c r="O210" s="1156"/>
      <c r="P210" s="1128"/>
      <c r="Q210" s="1128"/>
    </row>
    <row r="211" spans="1:20" ht="63.75" hidden="1" customHeight="1" x14ac:dyDescent="0.2">
      <c r="A211" s="829"/>
      <c r="B211" s="829"/>
      <c r="C211" s="829"/>
      <c r="D211" s="829"/>
      <c r="E211" s="829"/>
      <c r="F211" s="1024"/>
      <c r="G211" s="1065"/>
      <c r="H211" s="1274" t="s">
        <v>1382</v>
      </c>
      <c r="I211" s="1274" t="s">
        <v>1749</v>
      </c>
      <c r="J211" s="1274" t="s">
        <v>1750</v>
      </c>
      <c r="K211" s="1274" t="s">
        <v>1751</v>
      </c>
      <c r="L211" s="1037"/>
      <c r="M211" s="1026" t="s">
        <v>1356</v>
      </c>
      <c r="N211" s="1026" t="s">
        <v>1357</v>
      </c>
      <c r="O211" s="1274" t="s">
        <v>1358</v>
      </c>
      <c r="P211" s="1274" t="s">
        <v>1359</v>
      </c>
      <c r="Q211" s="1274" t="s">
        <v>1360</v>
      </c>
      <c r="R211" s="1274" t="s">
        <v>75</v>
      </c>
      <c r="S211" s="1037"/>
      <c r="T211" s="1037"/>
    </row>
    <row r="212" spans="1:20" ht="12.75" hidden="1" customHeight="1" x14ac:dyDescent="0.2">
      <c r="A212" s="834"/>
      <c r="B212" s="834"/>
      <c r="C212" s="834"/>
      <c r="D212" s="834"/>
      <c r="E212" s="834"/>
      <c r="F212" s="1106"/>
      <c r="G212" s="1159"/>
      <c r="H212" s="1114"/>
      <c r="I212" s="1160"/>
      <c r="J212" s="1160"/>
      <c r="K212" s="1160"/>
      <c r="L212" s="1037"/>
      <c r="M212" s="1161"/>
      <c r="N212" s="1161"/>
      <c r="O212" s="1162"/>
      <c r="P212" s="1162"/>
      <c r="Q212" s="1162"/>
      <c r="R212" s="838"/>
    </row>
    <row r="213" spans="1:20" ht="27" customHeight="1" x14ac:dyDescent="0.2">
      <c r="A213" s="829"/>
      <c r="B213" s="829"/>
      <c r="C213" s="829"/>
      <c r="D213" s="829"/>
      <c r="E213" s="829"/>
      <c r="F213" s="1024"/>
      <c r="G213" s="1123"/>
      <c r="H213" s="1087"/>
      <c r="I213" s="1163"/>
      <c r="J213" s="1163"/>
      <c r="K213" s="1163"/>
      <c r="L213" s="1163"/>
      <c r="M213" s="1163"/>
      <c r="N213" s="1163"/>
      <c r="O213" s="1163"/>
      <c r="P213" s="1163"/>
      <c r="Q213" s="1163"/>
      <c r="R213" s="1163"/>
    </row>
    <row r="214" spans="1:20" ht="87" customHeight="1" x14ac:dyDescent="0.2">
      <c r="A214" s="829"/>
      <c r="B214" s="829"/>
      <c r="C214" s="829"/>
      <c r="D214" s="829"/>
      <c r="E214" s="829"/>
      <c r="F214" s="1024"/>
      <c r="G214" s="1123"/>
      <c r="H214" s="1201" t="s">
        <v>1852</v>
      </c>
      <c r="I214" s="1156"/>
      <c r="J214" s="1156"/>
      <c r="K214" s="1156"/>
      <c r="L214" s="1037"/>
      <c r="M214" s="1156"/>
      <c r="N214" s="1156"/>
      <c r="O214" s="1156"/>
      <c r="P214" s="1037"/>
      <c r="Q214" s="1037"/>
      <c r="R214" s="1037"/>
    </row>
    <row r="215" spans="1:20" ht="63.75" x14ac:dyDescent="0.2">
      <c r="A215" s="829"/>
      <c r="B215" s="829"/>
      <c r="C215" s="829"/>
      <c r="D215" s="829"/>
      <c r="E215" s="829"/>
      <c r="F215" s="1024"/>
      <c r="G215" s="1065"/>
      <c r="H215" s="1274" t="s">
        <v>1382</v>
      </c>
      <c r="I215" s="1027" t="s">
        <v>1749</v>
      </c>
      <c r="J215" s="1027" t="s">
        <v>1750</v>
      </c>
      <c r="K215" s="1027" t="s">
        <v>1751</v>
      </c>
      <c r="L215" s="1026" t="s">
        <v>1355</v>
      </c>
      <c r="M215" s="1026" t="s">
        <v>1356</v>
      </c>
      <c r="N215" s="1026" t="s">
        <v>1357</v>
      </c>
      <c r="O215" s="1274" t="s">
        <v>1358</v>
      </c>
      <c r="P215" s="1274" t="s">
        <v>1359</v>
      </c>
      <c r="Q215" s="1274" t="s">
        <v>1360</v>
      </c>
      <c r="R215" s="1402" t="s">
        <v>75</v>
      </c>
      <c r="S215" s="1402"/>
      <c r="T215" s="1402"/>
    </row>
    <row r="216" spans="1:20" x14ac:dyDescent="0.2">
      <c r="A216" s="829"/>
      <c r="B216" s="829"/>
      <c r="C216" s="829"/>
      <c r="D216" s="829"/>
      <c r="E216" s="829"/>
      <c r="F216" s="1024"/>
      <c r="G216" s="1065"/>
      <c r="H216" s="1274"/>
      <c r="I216" s="1144"/>
      <c r="J216" s="1144"/>
      <c r="K216" s="1144"/>
      <c r="L216" s="1049"/>
      <c r="M216" s="1049"/>
      <c r="N216" s="1049"/>
      <c r="O216" s="1056"/>
      <c r="P216" s="1056"/>
      <c r="Q216" s="1056"/>
      <c r="R216" s="1420"/>
      <c r="S216" s="1420"/>
      <c r="T216" s="1420"/>
    </row>
    <row r="217" spans="1:20" x14ac:dyDescent="0.2">
      <c r="A217" s="829"/>
      <c r="B217" s="829"/>
      <c r="C217" s="829"/>
      <c r="D217" s="829"/>
      <c r="E217" s="829"/>
      <c r="F217" s="1024"/>
      <c r="G217" s="1065"/>
      <c r="H217" s="1421" t="s">
        <v>294</v>
      </c>
      <c r="I217" s="1422"/>
      <c r="J217" s="1422"/>
      <c r="K217" s="1423"/>
      <c r="L217" s="1026">
        <f t="shared" ref="L217:Q217" si="37">SUM(L216:L216)</f>
        <v>0</v>
      </c>
      <c r="M217" s="1026">
        <f t="shared" si="37"/>
        <v>0</v>
      </c>
      <c r="N217" s="1026">
        <f t="shared" si="37"/>
        <v>0</v>
      </c>
      <c r="O217" s="1026">
        <f>SUM(O216:O216)</f>
        <v>0</v>
      </c>
      <c r="P217" s="1026">
        <f t="shared" si="37"/>
        <v>0</v>
      </c>
      <c r="Q217" s="1026">
        <f t="shared" si="37"/>
        <v>0</v>
      </c>
      <c r="R217" s="1424"/>
      <c r="S217" s="1425"/>
      <c r="T217" s="1426"/>
    </row>
    <row r="218" spans="1:20" x14ac:dyDescent="0.2">
      <c r="A218" s="829"/>
      <c r="B218" s="829"/>
      <c r="C218" s="829"/>
      <c r="D218" s="829"/>
      <c r="E218" s="829"/>
      <c r="F218" s="1024"/>
      <c r="G218" s="1164"/>
      <c r="H218" s="1164"/>
      <c r="I218" s="1164"/>
      <c r="J218" s="1164"/>
      <c r="K218" s="1164"/>
      <c r="L218" s="1164"/>
      <c r="M218" s="1164"/>
      <c r="N218" s="1164"/>
      <c r="O218" s="1164"/>
      <c r="P218" s="1164"/>
      <c r="Q218" s="1164"/>
      <c r="R218" s="1164"/>
    </row>
    <row r="219" spans="1:20" x14ac:dyDescent="0.2">
      <c r="A219" s="829"/>
      <c r="B219" s="829"/>
      <c r="C219" s="829"/>
      <c r="D219" s="829"/>
      <c r="E219" s="829"/>
      <c r="F219" s="1024"/>
      <c r="G219" s="1164"/>
      <c r="H219" s="1164"/>
      <c r="I219" s="1164"/>
      <c r="J219" s="1164"/>
      <c r="K219" s="1164"/>
      <c r="L219" s="1164"/>
      <c r="M219" s="1164"/>
      <c r="N219" s="1164"/>
      <c r="O219" s="1164"/>
      <c r="P219" s="1164"/>
      <c r="Q219" s="1164"/>
      <c r="R219" s="1164"/>
    </row>
    <row r="220" spans="1:20" x14ac:dyDescent="0.2">
      <c r="A220" s="829"/>
      <c r="B220" s="829"/>
      <c r="C220" s="829"/>
      <c r="D220" s="829"/>
      <c r="E220" s="829"/>
      <c r="F220" s="1024"/>
      <c r="G220" s="1164"/>
      <c r="H220" s="1164"/>
      <c r="I220" s="1164"/>
      <c r="J220" s="1164"/>
      <c r="K220" s="1164"/>
      <c r="L220" s="1164"/>
      <c r="M220" s="1164"/>
      <c r="N220" s="1164"/>
      <c r="O220" s="1164"/>
      <c r="P220" s="1164"/>
      <c r="Q220" s="1164"/>
      <c r="R220" s="1164"/>
    </row>
    <row r="221" spans="1:20" x14ac:dyDescent="0.2">
      <c r="A221" s="829"/>
      <c r="B221" s="829"/>
      <c r="C221" s="829"/>
      <c r="D221" s="829"/>
      <c r="E221" s="829"/>
      <c r="F221" s="1024"/>
      <c r="G221" s="1164"/>
      <c r="H221" s="1164"/>
      <c r="I221" s="1164"/>
      <c r="J221" s="1164"/>
      <c r="K221" s="1164"/>
      <c r="L221" s="1164"/>
      <c r="M221" s="1164"/>
      <c r="N221" s="1164"/>
      <c r="O221" s="1164"/>
      <c r="P221" s="1164"/>
      <c r="Q221" s="1164"/>
      <c r="R221" s="1164"/>
    </row>
    <row r="222" spans="1:20" x14ac:dyDescent="0.2">
      <c r="A222" s="829"/>
      <c r="B222" s="829"/>
      <c r="C222" s="829"/>
      <c r="D222" s="829"/>
      <c r="E222" s="829"/>
      <c r="F222" s="1024"/>
      <c r="G222" s="1164"/>
      <c r="H222" s="1165"/>
      <c r="I222" s="1164"/>
      <c r="J222" s="1164"/>
      <c r="K222" s="1164"/>
      <c r="L222" s="1164"/>
      <c r="M222" s="1164"/>
      <c r="N222" s="1164"/>
      <c r="O222" s="1164"/>
      <c r="P222" s="1164"/>
      <c r="Q222" s="1164"/>
      <c r="R222" s="1164"/>
    </row>
    <row r="223" spans="1:20" x14ac:dyDescent="0.2">
      <c r="A223" s="829"/>
      <c r="B223" s="829"/>
      <c r="C223" s="829"/>
      <c r="D223" s="829"/>
      <c r="E223" s="829"/>
      <c r="F223" s="1024"/>
      <c r="G223" s="1164"/>
      <c r="H223" s="1165"/>
      <c r="I223" s="1164"/>
      <c r="J223" s="1164"/>
      <c r="K223" s="1164"/>
      <c r="L223" s="1164"/>
      <c r="M223" s="1164"/>
      <c r="N223" s="1164"/>
      <c r="O223" s="1164"/>
      <c r="P223" s="1164"/>
      <c r="Q223" s="1164"/>
      <c r="R223" s="1164"/>
    </row>
    <row r="224" spans="1:20" x14ac:dyDescent="0.2">
      <c r="A224" s="829"/>
      <c r="B224" s="829"/>
      <c r="C224" s="829"/>
      <c r="D224" s="829"/>
      <c r="E224" s="829"/>
      <c r="F224" s="1024"/>
      <c r="G224" s="1164"/>
      <c r="H224" s="1164"/>
      <c r="I224" s="1164"/>
      <c r="J224" s="1164"/>
      <c r="K224" s="1164"/>
      <c r="L224" s="1164"/>
      <c r="M224" s="1164"/>
      <c r="N224" s="1164"/>
      <c r="O224" s="1164"/>
      <c r="P224" s="1164"/>
      <c r="Q224" s="1164"/>
      <c r="R224" s="1164"/>
    </row>
    <row r="225" spans="1:19" x14ac:dyDescent="0.2">
      <c r="A225" s="829"/>
      <c r="B225" s="829"/>
      <c r="C225" s="829"/>
      <c r="D225" s="829"/>
      <c r="E225" s="829"/>
      <c r="F225" s="1024"/>
      <c r="G225" s="1164"/>
      <c r="H225" s="1164"/>
      <c r="I225" s="1164"/>
      <c r="J225" s="1164"/>
      <c r="K225" s="1164"/>
      <c r="L225" s="1164"/>
      <c r="M225" s="1164"/>
      <c r="N225" s="1164"/>
      <c r="O225" s="1164"/>
      <c r="P225" s="1164"/>
      <c r="Q225" s="1164"/>
      <c r="R225" s="1164"/>
    </row>
    <row r="226" spans="1:19" ht="12.75" customHeight="1" x14ac:dyDescent="0.2">
      <c r="A226" s="829"/>
      <c r="B226" s="829"/>
      <c r="C226" s="829"/>
      <c r="D226" s="829"/>
      <c r="E226" s="829"/>
      <c r="F226" s="1024"/>
      <c r="H226" s="1164"/>
      <c r="I226" s="1164"/>
      <c r="J226" s="1164"/>
      <c r="K226" s="1164"/>
      <c r="L226" s="1164"/>
      <c r="M226" s="1166"/>
      <c r="N226" s="1166"/>
      <c r="O226" s="1166"/>
      <c r="P226" s="1166"/>
      <c r="Q226" s="1166"/>
      <c r="R226" s="1167"/>
      <c r="S226" s="1083"/>
    </row>
    <row r="227" spans="1:19" ht="12.75" customHeight="1" x14ac:dyDescent="0.2">
      <c r="H227" s="1164"/>
      <c r="I227" s="1164"/>
      <c r="J227" s="1164"/>
      <c r="K227" s="1164"/>
      <c r="L227" s="1166"/>
      <c r="M227" s="1166"/>
      <c r="N227" s="1166"/>
      <c r="O227" s="1166"/>
      <c r="P227" s="1166"/>
      <c r="Q227" s="1166"/>
      <c r="R227" s="1167"/>
    </row>
    <row r="228" spans="1:19" ht="12.75" customHeight="1" x14ac:dyDescent="0.2">
      <c r="H228" s="1164"/>
      <c r="I228" s="1164"/>
      <c r="J228" s="1164"/>
      <c r="K228" s="1164"/>
      <c r="L228" s="1166"/>
      <c r="M228" s="1166"/>
      <c r="N228" s="1166"/>
      <c r="O228" s="1166"/>
      <c r="P228" s="1166"/>
      <c r="Q228" s="1166"/>
      <c r="R228" s="1167"/>
    </row>
    <row r="229" spans="1:19" x14ac:dyDescent="0.2">
      <c r="H229" s="1164"/>
      <c r="I229" s="1164"/>
      <c r="J229" s="1164"/>
      <c r="K229" s="1164"/>
      <c r="L229" s="1166"/>
      <c r="M229" s="1166"/>
      <c r="N229" s="1166"/>
      <c r="O229" s="1166"/>
      <c r="P229" s="1166"/>
      <c r="Q229" s="1166"/>
      <c r="R229" s="1167"/>
    </row>
    <row r="230" spans="1:19" x14ac:dyDescent="0.2">
      <c r="H230" s="1164"/>
      <c r="I230" s="1164"/>
      <c r="J230" s="1164"/>
      <c r="K230" s="1164"/>
      <c r="L230" s="1166"/>
      <c r="M230" s="1166"/>
      <c r="N230" s="1166"/>
      <c r="O230" s="1166"/>
      <c r="P230" s="1166"/>
      <c r="Q230" s="1166"/>
      <c r="R230" s="1167"/>
    </row>
    <row r="231" spans="1:19" x14ac:dyDescent="0.2">
      <c r="H231" s="1164"/>
      <c r="I231" s="1164"/>
      <c r="J231" s="1164"/>
      <c r="K231" s="1164"/>
      <c r="L231" s="1166"/>
      <c r="M231" s="1166"/>
      <c r="N231" s="1166"/>
      <c r="O231" s="1166"/>
      <c r="P231" s="1166"/>
      <c r="Q231" s="1166"/>
      <c r="R231" s="1167"/>
    </row>
    <row r="232" spans="1:19" x14ac:dyDescent="0.2">
      <c r="H232" s="1164"/>
      <c r="I232" s="1164"/>
      <c r="J232" s="1164"/>
      <c r="K232" s="1164"/>
      <c r="L232" s="1166"/>
      <c r="M232" s="1166"/>
      <c r="N232" s="1166"/>
      <c r="O232" s="1166"/>
      <c r="P232" s="1166"/>
      <c r="Q232" s="1166"/>
      <c r="R232" s="1167"/>
    </row>
    <row r="233" spans="1:19" x14ac:dyDescent="0.2">
      <c r="H233" s="1164"/>
      <c r="I233" s="1164"/>
      <c r="J233" s="1164"/>
      <c r="K233" s="1164"/>
      <c r="L233" s="1166"/>
      <c r="M233" s="1166"/>
      <c r="N233" s="1166"/>
      <c r="O233" s="1166"/>
      <c r="P233" s="1166"/>
      <c r="Q233" s="1166"/>
      <c r="R233" s="1167"/>
    </row>
    <row r="234" spans="1:19" x14ac:dyDescent="0.2">
      <c r="H234" s="1164"/>
      <c r="I234" s="1164"/>
      <c r="J234" s="1164"/>
      <c r="K234" s="1164"/>
      <c r="L234" s="1166"/>
      <c r="M234" s="1166"/>
      <c r="N234" s="1166"/>
      <c r="O234" s="1166"/>
      <c r="P234" s="1166"/>
      <c r="Q234" s="1166"/>
      <c r="R234" s="1167"/>
    </row>
    <row r="235" spans="1:19" x14ac:dyDescent="0.2">
      <c r="H235" s="1164"/>
      <c r="I235" s="1164"/>
      <c r="J235" s="1164"/>
      <c r="K235" s="1164"/>
      <c r="L235" s="1166"/>
      <c r="M235" s="1166"/>
      <c r="N235" s="1166"/>
      <c r="O235" s="1166"/>
      <c r="P235" s="1166"/>
      <c r="Q235" s="1166"/>
      <c r="R235" s="1167"/>
    </row>
    <row r="236" spans="1:19" x14ac:dyDescent="0.2">
      <c r="H236" s="1164"/>
      <c r="I236" s="1164"/>
      <c r="J236" s="1164"/>
      <c r="K236" s="1164"/>
      <c r="L236" s="1166"/>
      <c r="M236" s="1166"/>
      <c r="N236" s="1166"/>
      <c r="O236" s="1166"/>
      <c r="P236" s="1166"/>
      <c r="Q236" s="1166"/>
      <c r="R236" s="1167"/>
    </row>
    <row r="237" spans="1:19" x14ac:dyDescent="0.2">
      <c r="H237" s="1164"/>
      <c r="I237" s="1164"/>
      <c r="J237" s="1164"/>
      <c r="K237" s="1164"/>
      <c r="L237" s="1166"/>
      <c r="M237" s="1166"/>
      <c r="N237" s="1166"/>
      <c r="O237" s="1166"/>
      <c r="P237" s="1166"/>
      <c r="Q237" s="1166"/>
      <c r="R237" s="1167"/>
    </row>
    <row r="238" spans="1:19" x14ac:dyDescent="0.2">
      <c r="G238" s="830"/>
      <c r="H238" s="1164"/>
      <c r="I238" s="1164"/>
      <c r="J238" s="1164"/>
      <c r="K238" s="1164"/>
      <c r="L238" s="1166"/>
      <c r="M238" s="1166"/>
      <c r="N238" s="1166"/>
      <c r="O238" s="1166"/>
      <c r="P238" s="1166"/>
      <c r="Q238" s="1166"/>
    </row>
    <row r="239" spans="1:19" x14ac:dyDescent="0.2">
      <c r="L239" s="1166"/>
    </row>
  </sheetData>
  <mergeCells count="71">
    <mergeCell ref="R216:T216"/>
    <mergeCell ref="H217:K217"/>
    <mergeCell ref="R217:T217"/>
    <mergeCell ref="H198:J198"/>
    <mergeCell ref="T205:Y205"/>
    <mergeCell ref="T206:Y206"/>
    <mergeCell ref="T207:Y207"/>
    <mergeCell ref="T208:Y208"/>
    <mergeCell ref="R215:T215"/>
    <mergeCell ref="H182:K182"/>
    <mergeCell ref="H140:Q140"/>
    <mergeCell ref="H148:K148"/>
    <mergeCell ref="H150:L150"/>
    <mergeCell ref="H159:K159"/>
    <mergeCell ref="O160:R160"/>
    <mergeCell ref="O161:R161"/>
    <mergeCell ref="O162:R162"/>
    <mergeCell ref="O163:R163"/>
    <mergeCell ref="O164:R164"/>
    <mergeCell ref="O165:R165"/>
    <mergeCell ref="H170:K170"/>
    <mergeCell ref="T134:V134"/>
    <mergeCell ref="T135:V135"/>
    <mergeCell ref="T136:V136"/>
    <mergeCell ref="T137:V137"/>
    <mergeCell ref="H138:I138"/>
    <mergeCell ref="T138:V138"/>
    <mergeCell ref="T133:V133"/>
    <mergeCell ref="T122:V122"/>
    <mergeCell ref="T123:V123"/>
    <mergeCell ref="T124:V124"/>
    <mergeCell ref="T125:V125"/>
    <mergeCell ref="T126:V126"/>
    <mergeCell ref="T127:V127"/>
    <mergeCell ref="T128:V128"/>
    <mergeCell ref="T129:V129"/>
    <mergeCell ref="T130:V130"/>
    <mergeCell ref="T131:V131"/>
    <mergeCell ref="T132:V132"/>
    <mergeCell ref="H103:J103"/>
    <mergeCell ref="H106:J106"/>
    <mergeCell ref="T121:V121"/>
    <mergeCell ref="T110:V110"/>
    <mergeCell ref="T111:V111"/>
    <mergeCell ref="T112:V112"/>
    <mergeCell ref="T113:V113"/>
    <mergeCell ref="T114:V114"/>
    <mergeCell ref="T115:V115"/>
    <mergeCell ref="T116:V116"/>
    <mergeCell ref="T117:V117"/>
    <mergeCell ref="T118:V118"/>
    <mergeCell ref="T119:V119"/>
    <mergeCell ref="T120:V120"/>
    <mergeCell ref="K109:M109"/>
    <mergeCell ref="N109:P109"/>
    <mergeCell ref="Q109:S109"/>
    <mergeCell ref="T92:X92"/>
    <mergeCell ref="T93:X93"/>
    <mergeCell ref="T94:X94"/>
    <mergeCell ref="T95:X95"/>
    <mergeCell ref="T96:X96"/>
    <mergeCell ref="T97:X97"/>
    <mergeCell ref="T98:X98"/>
    <mergeCell ref="T100:U100"/>
    <mergeCell ref="T101:U101"/>
    <mergeCell ref="H90:Q90"/>
    <mergeCell ref="J1:O1"/>
    <mergeCell ref="H3:R3"/>
    <mergeCell ref="H20:K20"/>
    <mergeCell ref="T82:X82"/>
    <mergeCell ref="H85:J85"/>
  </mergeCells>
  <pageMargins left="0.25" right="0.25" top="0.75" bottom="0.75" header="0.3" footer="0.3"/>
  <pageSetup paperSize="9" scale="44" fitToHeight="0" orientation="landscape" r:id="rId1"/>
  <rowBreaks count="5" manualBreakCount="5">
    <brk id="61" max="24" man="1"/>
    <brk id="88" max="16383" man="1"/>
    <brk id="102" max="16383" man="1"/>
    <brk id="138" max="16383" man="1"/>
    <brk id="168"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6"/>
  <sheetViews>
    <sheetView topLeftCell="C1" zoomScaleNormal="100" workbookViewId="0">
      <selection activeCell="L2" sqref="L2"/>
    </sheetView>
  </sheetViews>
  <sheetFormatPr defaultColWidth="9.140625" defaultRowHeight="12.75" x14ac:dyDescent="0.25"/>
  <cols>
    <col min="1" max="2" width="16.42578125" style="830" hidden="1" customWidth="1"/>
    <col min="3" max="3" width="15.85546875" style="1243" customWidth="1"/>
    <col min="4" max="4" width="6.5703125" style="919" customWidth="1"/>
    <col min="5" max="5" width="36.7109375" style="829" customWidth="1"/>
    <col min="6" max="6" width="17.7109375" style="830" hidden="1" customWidth="1"/>
    <col min="7" max="7" width="22.5703125" style="920" customWidth="1"/>
    <col min="8" max="8" width="20.42578125" style="920" customWidth="1"/>
    <col min="9" max="9" width="19.5703125" style="920" customWidth="1"/>
    <col min="10" max="11" width="9.140625" style="830" hidden="1" customWidth="1"/>
    <col min="12" max="12" width="26.140625" style="830" customWidth="1"/>
    <col min="13" max="13" width="12.85546875" style="830" customWidth="1"/>
    <col min="14" max="14" width="23.28515625" style="830" customWidth="1"/>
    <col min="15" max="16384" width="9.140625" style="830"/>
  </cols>
  <sheetData>
    <row r="1" spans="1:13" ht="33.75" customHeight="1" x14ac:dyDescent="0.25">
      <c r="C1" s="1242"/>
      <c r="D1" s="839"/>
      <c r="E1" s="1431" t="s">
        <v>1853</v>
      </c>
      <c r="F1" s="1431"/>
      <c r="G1" s="1431"/>
      <c r="H1" s="1431"/>
      <c r="I1" s="1431"/>
      <c r="J1" s="840"/>
      <c r="K1" s="840"/>
      <c r="L1" s="831" t="s">
        <v>2127</v>
      </c>
    </row>
    <row r="2" spans="1:13" ht="53.25" customHeight="1" x14ac:dyDescent="0.25">
      <c r="A2" s="841" t="s">
        <v>1</v>
      </c>
      <c r="B2" s="841" t="s">
        <v>1854</v>
      </c>
      <c r="C2" s="841" t="s">
        <v>1855</v>
      </c>
      <c r="D2" s="842" t="s">
        <v>1856</v>
      </c>
      <c r="E2" s="841" t="s">
        <v>105</v>
      </c>
      <c r="F2" s="841" t="s">
        <v>905</v>
      </c>
      <c r="G2" s="843" t="s">
        <v>1857</v>
      </c>
      <c r="H2" s="843" t="s">
        <v>1858</v>
      </c>
      <c r="I2" s="843" t="s">
        <v>1859</v>
      </c>
      <c r="J2" s="841" t="s">
        <v>1860</v>
      </c>
      <c r="K2" s="841" t="s">
        <v>1861</v>
      </c>
      <c r="L2" s="841" t="s">
        <v>1862</v>
      </c>
    </row>
    <row r="3" spans="1:13" ht="18" customHeight="1" thickBot="1" x14ac:dyDescent="0.3">
      <c r="A3" s="841"/>
      <c r="B3" s="841"/>
      <c r="C3" s="844"/>
      <c r="D3" s="845"/>
      <c r="E3" s="844"/>
      <c r="F3" s="844"/>
      <c r="G3" s="846"/>
      <c r="H3" s="846" t="s">
        <v>1863</v>
      </c>
      <c r="I3" s="846" t="s">
        <v>1863</v>
      </c>
      <c r="J3" s="844" t="s">
        <v>1863</v>
      </c>
      <c r="K3" s="844" t="s">
        <v>1863</v>
      </c>
      <c r="L3" s="844"/>
    </row>
    <row r="4" spans="1:13" ht="38.25" x14ac:dyDescent="0.25">
      <c r="A4" s="841"/>
      <c r="B4" s="847"/>
      <c r="C4" s="1432" t="s">
        <v>1864</v>
      </c>
      <c r="D4" s="848">
        <v>1</v>
      </c>
      <c r="E4" s="849" t="s">
        <v>1865</v>
      </c>
      <c r="F4" s="849" t="s">
        <v>1866</v>
      </c>
      <c r="G4" s="850">
        <v>348154297.5</v>
      </c>
      <c r="H4" s="1246">
        <v>278523438</v>
      </c>
      <c r="I4" s="850">
        <v>192255000</v>
      </c>
      <c r="J4" s="851">
        <v>43435</v>
      </c>
      <c r="K4" s="849" t="s">
        <v>1867</v>
      </c>
      <c r="L4" s="852" t="s">
        <v>1868</v>
      </c>
      <c r="M4" s="830">
        <f>I4/H4*100</f>
        <v>69.026506846436391</v>
      </c>
    </row>
    <row r="5" spans="1:13" ht="38.25" x14ac:dyDescent="0.25">
      <c r="A5" s="841"/>
      <c r="B5" s="847"/>
      <c r="C5" s="1433"/>
      <c r="D5" s="853">
        <v>2</v>
      </c>
      <c r="E5" s="1244" t="s">
        <v>1869</v>
      </c>
      <c r="F5" s="1244"/>
      <c r="G5" s="854">
        <v>73995403</v>
      </c>
      <c r="H5" s="854">
        <v>59196344</v>
      </c>
      <c r="I5" s="854">
        <v>42029404</v>
      </c>
      <c r="J5" s="855"/>
      <c r="K5" s="1244"/>
      <c r="L5" s="856" t="s">
        <v>1870</v>
      </c>
      <c r="M5" s="830">
        <f t="shared" ref="M5:M62" si="0">I5/H5*100</f>
        <v>70.999999594569545</v>
      </c>
    </row>
    <row r="6" spans="1:13" ht="26.25" thickBot="1" x14ac:dyDescent="0.3">
      <c r="A6" s="841"/>
      <c r="B6" s="847"/>
      <c r="C6" s="1434"/>
      <c r="D6" s="857">
        <v>3</v>
      </c>
      <c r="E6" s="838" t="s">
        <v>1871</v>
      </c>
      <c r="F6" s="858"/>
      <c r="G6" s="858">
        <v>115575625</v>
      </c>
      <c r="H6" s="858">
        <v>92460500</v>
      </c>
      <c r="I6" s="858">
        <v>63945682</v>
      </c>
      <c r="J6" s="858"/>
      <c r="K6" s="858"/>
      <c r="L6" s="859" t="s">
        <v>1870</v>
      </c>
      <c r="M6" s="830">
        <f t="shared" si="0"/>
        <v>69.160000216308575</v>
      </c>
    </row>
    <row r="7" spans="1:13" ht="25.5" x14ac:dyDescent="0.25">
      <c r="A7" s="841"/>
      <c r="B7" s="847"/>
      <c r="C7" s="1435" t="s">
        <v>1872</v>
      </c>
      <c r="D7" s="860">
        <v>4</v>
      </c>
      <c r="E7" s="861" t="s">
        <v>1873</v>
      </c>
      <c r="F7" s="861" t="s">
        <v>1874</v>
      </c>
      <c r="G7" s="862">
        <v>147028750</v>
      </c>
      <c r="H7" s="862">
        <v>117623000</v>
      </c>
      <c r="I7" s="862">
        <v>83009000</v>
      </c>
      <c r="J7" s="863">
        <v>43435</v>
      </c>
      <c r="K7" s="861" t="s">
        <v>1875</v>
      </c>
      <c r="L7" s="864" t="s">
        <v>1868</v>
      </c>
      <c r="M7" s="830">
        <f t="shared" si="0"/>
        <v>70.572081990767117</v>
      </c>
    </row>
    <row r="8" spans="1:13" ht="25.5" x14ac:dyDescent="0.25">
      <c r="A8" s="841"/>
      <c r="B8" s="847"/>
      <c r="C8" s="1436"/>
      <c r="D8" s="865">
        <v>5</v>
      </c>
      <c r="E8" s="866" t="s">
        <v>1876</v>
      </c>
      <c r="F8" s="866" t="s">
        <v>1874</v>
      </c>
      <c r="G8" s="867">
        <v>96668627.5</v>
      </c>
      <c r="H8" s="867">
        <v>77334902</v>
      </c>
      <c r="I8" s="867">
        <v>54126698</v>
      </c>
      <c r="J8" s="868">
        <v>43525</v>
      </c>
      <c r="K8" s="866" t="s">
        <v>1867</v>
      </c>
      <c r="L8" s="869" t="s">
        <v>1868</v>
      </c>
      <c r="M8" s="830">
        <f t="shared" si="0"/>
        <v>69.990000116635571</v>
      </c>
    </row>
    <row r="9" spans="1:13" ht="26.25" thickBot="1" x14ac:dyDescent="0.3">
      <c r="A9" s="841"/>
      <c r="B9" s="847"/>
      <c r="C9" s="1437"/>
      <c r="D9" s="870">
        <v>6</v>
      </c>
      <c r="E9" s="871" t="s">
        <v>1877</v>
      </c>
      <c r="F9" s="871" t="s">
        <v>1874</v>
      </c>
      <c r="G9" s="1203">
        <v>243057075</v>
      </c>
      <c r="H9" s="1203">
        <v>194445660</v>
      </c>
      <c r="I9" s="1203">
        <v>138095308</v>
      </c>
      <c r="J9" s="872">
        <v>43891</v>
      </c>
      <c r="K9" s="871" t="s">
        <v>1878</v>
      </c>
      <c r="L9" s="873" t="s">
        <v>1868</v>
      </c>
      <c r="M9" s="830">
        <f t="shared" si="0"/>
        <v>71.020000137827708</v>
      </c>
    </row>
    <row r="10" spans="1:13" x14ac:dyDescent="0.25">
      <c r="A10" s="841"/>
      <c r="B10" s="847"/>
      <c r="C10" s="1432" t="s">
        <v>1879</v>
      </c>
      <c r="D10" s="848">
        <v>7</v>
      </c>
      <c r="E10" s="849" t="s">
        <v>1880</v>
      </c>
      <c r="F10" s="849"/>
      <c r="G10" s="850">
        <v>76509250</v>
      </c>
      <c r="H10" s="850">
        <v>61207400</v>
      </c>
      <c r="I10" s="850">
        <v>43561307</v>
      </c>
      <c r="J10" s="849"/>
      <c r="K10" s="849"/>
      <c r="L10" s="852" t="s">
        <v>1868</v>
      </c>
      <c r="M10" s="830">
        <f t="shared" si="0"/>
        <v>71.170000686191543</v>
      </c>
    </row>
    <row r="11" spans="1:13" x14ac:dyDescent="0.25">
      <c r="A11" s="841"/>
      <c r="B11" s="847"/>
      <c r="C11" s="1433"/>
      <c r="D11" s="853">
        <v>8</v>
      </c>
      <c r="E11" s="1244" t="s">
        <v>1881</v>
      </c>
      <c r="F11" s="1244"/>
      <c r="G11" s="854">
        <v>115559755</v>
      </c>
      <c r="H11" s="854">
        <v>92447804</v>
      </c>
      <c r="I11" s="854">
        <v>58273000</v>
      </c>
      <c r="J11" s="1244"/>
      <c r="K11" s="1244"/>
      <c r="L11" s="856" t="s">
        <v>1870</v>
      </c>
      <c r="M11" s="830">
        <f t="shared" si="0"/>
        <v>63.033406396543498</v>
      </c>
    </row>
    <row r="12" spans="1:13" ht="25.5" x14ac:dyDescent="0.25">
      <c r="A12" s="841"/>
      <c r="B12" s="847"/>
      <c r="C12" s="1433"/>
      <c r="D12" s="853">
        <v>9</v>
      </c>
      <c r="E12" s="1244" t="s">
        <v>1882</v>
      </c>
      <c r="F12" s="1244"/>
      <c r="G12" s="854">
        <v>291988219</v>
      </c>
      <c r="H12" s="854">
        <v>233590575</v>
      </c>
      <c r="I12" s="854">
        <v>165129762</v>
      </c>
      <c r="J12" s="1244"/>
      <c r="K12" s="1244"/>
      <c r="L12" s="856" t="s">
        <v>1870</v>
      </c>
      <c r="M12" s="830">
        <f t="shared" si="0"/>
        <v>70.691962635906862</v>
      </c>
    </row>
    <row r="13" spans="1:13" x14ac:dyDescent="0.25">
      <c r="A13" s="841"/>
      <c r="B13" s="847"/>
      <c r="C13" s="1433"/>
      <c r="D13" s="853">
        <v>10</v>
      </c>
      <c r="E13" s="1244" t="s">
        <v>1883</v>
      </c>
      <c r="F13" s="1244"/>
      <c r="G13" s="854">
        <v>222487429</v>
      </c>
      <c r="H13" s="854">
        <v>177989943</v>
      </c>
      <c r="I13" s="854">
        <v>125554561</v>
      </c>
      <c r="J13" s="1244"/>
      <c r="K13" s="1244"/>
      <c r="L13" s="856" t="s">
        <v>1870</v>
      </c>
      <c r="M13" s="830">
        <f t="shared" si="0"/>
        <v>70.540255749168935</v>
      </c>
    </row>
    <row r="14" spans="1:13" ht="13.5" thickBot="1" x14ac:dyDescent="0.3">
      <c r="A14" s="841"/>
      <c r="B14" s="847"/>
      <c r="C14" s="1434"/>
      <c r="D14" s="857">
        <v>11</v>
      </c>
      <c r="E14" s="858" t="s">
        <v>1884</v>
      </c>
      <c r="F14" s="858"/>
      <c r="G14" s="858">
        <v>164184360</v>
      </c>
      <c r="H14" s="858">
        <v>131347488</v>
      </c>
      <c r="I14" s="858">
        <v>84314890</v>
      </c>
      <c r="J14" s="858"/>
      <c r="K14" s="858"/>
      <c r="L14" s="859" t="s">
        <v>1870</v>
      </c>
      <c r="M14" s="830">
        <f t="shared" si="0"/>
        <v>64.192236398156325</v>
      </c>
    </row>
    <row r="15" spans="1:13" ht="25.5" x14ac:dyDescent="0.25">
      <c r="A15" s="841"/>
      <c r="B15" s="847"/>
      <c r="C15" s="1435" t="s">
        <v>1885</v>
      </c>
      <c r="D15" s="860">
        <v>12</v>
      </c>
      <c r="E15" s="861" t="s">
        <v>1886</v>
      </c>
      <c r="F15" s="861" t="s">
        <v>1887</v>
      </c>
      <c r="G15" s="862">
        <v>67464299</v>
      </c>
      <c r="H15" s="862">
        <v>53971439</v>
      </c>
      <c r="I15" s="862">
        <v>38214477</v>
      </c>
      <c r="J15" s="863">
        <v>43160</v>
      </c>
      <c r="K15" s="863">
        <v>44166</v>
      </c>
      <c r="L15" s="864" t="s">
        <v>1888</v>
      </c>
      <c r="M15" s="830">
        <f t="shared" si="0"/>
        <v>70.804999288605217</v>
      </c>
    </row>
    <row r="16" spans="1:13" ht="25.5" x14ac:dyDescent="0.25">
      <c r="A16" s="841"/>
      <c r="B16" s="847"/>
      <c r="C16" s="1436"/>
      <c r="D16" s="865">
        <v>13</v>
      </c>
      <c r="E16" s="866" t="s">
        <v>1889</v>
      </c>
      <c r="F16" s="866" t="s">
        <v>1887</v>
      </c>
      <c r="G16" s="867">
        <v>61880658</v>
      </c>
      <c r="H16" s="867">
        <v>49504526</v>
      </c>
      <c r="I16" s="867">
        <v>36675923</v>
      </c>
      <c r="J16" s="868">
        <v>43160</v>
      </c>
      <c r="K16" s="868">
        <v>44166</v>
      </c>
      <c r="L16" s="869" t="s">
        <v>1868</v>
      </c>
      <c r="M16" s="830">
        <f t="shared" si="0"/>
        <v>74.085999732630498</v>
      </c>
    </row>
    <row r="17" spans="1:13" ht="13.5" thickBot="1" x14ac:dyDescent="0.3">
      <c r="A17" s="841"/>
      <c r="B17" s="847"/>
      <c r="C17" s="1437"/>
      <c r="D17" s="870">
        <v>14</v>
      </c>
      <c r="E17" s="874" t="s">
        <v>1890</v>
      </c>
      <c r="F17" s="874"/>
      <c r="G17" s="874">
        <v>68251762.5</v>
      </c>
      <c r="H17" s="874">
        <v>54601410</v>
      </c>
      <c r="I17" s="874">
        <v>37782651</v>
      </c>
      <c r="J17" s="874"/>
      <c r="K17" s="874"/>
      <c r="L17" s="873" t="s">
        <v>1870</v>
      </c>
      <c r="M17" s="830">
        <f t="shared" si="0"/>
        <v>69.197207544640321</v>
      </c>
    </row>
    <row r="18" spans="1:13" ht="30" customHeight="1" x14ac:dyDescent="0.25">
      <c r="A18" s="841"/>
      <c r="B18" s="847"/>
      <c r="C18" s="1432" t="s">
        <v>1891</v>
      </c>
      <c r="D18" s="848">
        <v>15</v>
      </c>
      <c r="E18" s="849" t="s">
        <v>1892</v>
      </c>
      <c r="F18" s="849"/>
      <c r="G18" s="850">
        <v>211710000</v>
      </c>
      <c r="H18" s="850">
        <v>169368000</v>
      </c>
      <c r="I18" s="850">
        <v>118424000</v>
      </c>
      <c r="J18" s="875"/>
      <c r="K18" s="875"/>
      <c r="L18" s="852" t="s">
        <v>1868</v>
      </c>
      <c r="M18" s="830">
        <f t="shared" si="0"/>
        <v>69.921118511170945</v>
      </c>
    </row>
    <row r="19" spans="1:13" ht="30" customHeight="1" thickBot="1" x14ac:dyDescent="0.3">
      <c r="A19" s="841"/>
      <c r="B19" s="847"/>
      <c r="C19" s="1438"/>
      <c r="D19" s="876">
        <v>16</v>
      </c>
      <c r="E19" s="877" t="s">
        <v>1893</v>
      </c>
      <c r="F19" s="877"/>
      <c r="G19" s="878">
        <v>82170253.75</v>
      </c>
      <c r="H19" s="878">
        <v>65736203</v>
      </c>
      <c r="I19" s="878">
        <v>46013554</v>
      </c>
      <c r="J19" s="879"/>
      <c r="K19" s="879"/>
      <c r="L19" s="880" t="s">
        <v>1870</v>
      </c>
      <c r="M19" s="830">
        <f t="shared" si="0"/>
        <v>69.997279885484105</v>
      </c>
    </row>
    <row r="20" spans="1:13" ht="39" customHeight="1" x14ac:dyDescent="0.25">
      <c r="A20" s="841"/>
      <c r="B20" s="847"/>
      <c r="C20" s="1428" t="s">
        <v>1894</v>
      </c>
      <c r="D20" s="881">
        <v>17</v>
      </c>
      <c r="E20" s="882" t="s">
        <v>1895</v>
      </c>
      <c r="F20" s="882" t="s">
        <v>1896</v>
      </c>
      <c r="G20" s="883">
        <v>216237278.86000001</v>
      </c>
      <c r="H20" s="883">
        <v>172989823.09</v>
      </c>
      <c r="I20" s="883">
        <v>119765179.27</v>
      </c>
      <c r="J20" s="882" t="s">
        <v>1897</v>
      </c>
      <c r="K20" s="882" t="s">
        <v>1878</v>
      </c>
      <c r="L20" s="884" t="s">
        <v>1888</v>
      </c>
      <c r="M20" s="830">
        <f t="shared" si="0"/>
        <v>69.232499999546647</v>
      </c>
    </row>
    <row r="21" spans="1:13" ht="25.5" customHeight="1" x14ac:dyDescent="0.25">
      <c r="A21" s="841"/>
      <c r="B21" s="847"/>
      <c r="C21" s="1436"/>
      <c r="D21" s="865">
        <v>18</v>
      </c>
      <c r="E21" s="866" t="s">
        <v>1898</v>
      </c>
      <c r="F21" s="866" t="s">
        <v>1899</v>
      </c>
      <c r="G21" s="867">
        <v>357591402</v>
      </c>
      <c r="H21" s="867">
        <v>286073122</v>
      </c>
      <c r="I21" s="867">
        <v>195439431</v>
      </c>
      <c r="J21" s="866" t="s">
        <v>1900</v>
      </c>
      <c r="K21" s="866" t="s">
        <v>1878</v>
      </c>
      <c r="L21" s="869" t="s">
        <v>1901</v>
      </c>
      <c r="M21" s="830">
        <f t="shared" si="0"/>
        <v>68.317998431184307</v>
      </c>
    </row>
    <row r="22" spans="1:13" ht="38.25" x14ac:dyDescent="0.25">
      <c r="A22" s="841"/>
      <c r="B22" s="847"/>
      <c r="C22" s="1436"/>
      <c r="D22" s="865">
        <v>19</v>
      </c>
      <c r="E22" s="866" t="s">
        <v>1902</v>
      </c>
      <c r="F22" s="866"/>
      <c r="G22" s="867">
        <v>572259191</v>
      </c>
      <c r="H22" s="867">
        <v>457807353</v>
      </c>
      <c r="I22" s="867">
        <v>287274114</v>
      </c>
      <c r="J22" s="866"/>
      <c r="K22" s="866"/>
      <c r="L22" s="869" t="s">
        <v>1870</v>
      </c>
      <c r="M22" s="830">
        <f t="shared" si="0"/>
        <v>62.749999998361758</v>
      </c>
    </row>
    <row r="23" spans="1:13" ht="30.75" customHeight="1" thickBot="1" x14ac:dyDescent="0.3">
      <c r="A23" s="841"/>
      <c r="B23" s="847"/>
      <c r="C23" s="1439"/>
      <c r="D23" s="885">
        <v>20</v>
      </c>
      <c r="E23" s="886" t="s">
        <v>1903</v>
      </c>
      <c r="F23" s="886"/>
      <c r="G23" s="887">
        <v>163851250</v>
      </c>
      <c r="H23" s="887">
        <v>136465000</v>
      </c>
      <c r="I23" s="887">
        <v>92985000</v>
      </c>
      <c r="J23" s="886"/>
      <c r="K23" s="886"/>
      <c r="L23" s="888" t="s">
        <v>1870</v>
      </c>
      <c r="M23" s="830">
        <f t="shared" si="0"/>
        <v>68.138350492800342</v>
      </c>
    </row>
    <row r="24" spans="1:13" ht="42" customHeight="1" thickBot="1" x14ac:dyDescent="0.3">
      <c r="A24" s="841"/>
      <c r="B24" s="847"/>
      <c r="C24" s="889" t="s">
        <v>1904</v>
      </c>
      <c r="D24" s="890">
        <v>21</v>
      </c>
      <c r="E24" s="891" t="s">
        <v>1905</v>
      </c>
      <c r="F24" s="891"/>
      <c r="G24" s="892">
        <v>100558941.25</v>
      </c>
      <c r="H24" s="892">
        <v>80447153</v>
      </c>
      <c r="I24" s="893">
        <v>56514586</v>
      </c>
      <c r="J24" s="891"/>
      <c r="K24" s="891"/>
      <c r="L24" s="894" t="s">
        <v>1870</v>
      </c>
      <c r="M24" s="830">
        <f t="shared" si="0"/>
        <v>70.250573068757333</v>
      </c>
    </row>
    <row r="25" spans="1:13" ht="38.25" x14ac:dyDescent="0.25">
      <c r="A25" s="841"/>
      <c r="B25" s="847"/>
      <c r="C25" s="1435" t="s">
        <v>1906</v>
      </c>
      <c r="D25" s="860">
        <v>22</v>
      </c>
      <c r="E25" s="861" t="s">
        <v>1907</v>
      </c>
      <c r="F25" s="861" t="s">
        <v>1908</v>
      </c>
      <c r="G25" s="862">
        <v>168989009.88999999</v>
      </c>
      <c r="H25" s="862">
        <v>135413960</v>
      </c>
      <c r="I25" s="862">
        <v>96235035</v>
      </c>
      <c r="J25" s="861" t="s">
        <v>1897</v>
      </c>
      <c r="K25" s="861" t="s">
        <v>1878</v>
      </c>
      <c r="L25" s="864" t="s">
        <v>1888</v>
      </c>
      <c r="M25" s="830">
        <f t="shared" si="0"/>
        <v>71.067292471175065</v>
      </c>
    </row>
    <row r="26" spans="1:13" ht="38.25" x14ac:dyDescent="0.25">
      <c r="A26" s="841"/>
      <c r="B26" s="847"/>
      <c r="C26" s="1436"/>
      <c r="D26" s="865">
        <v>23</v>
      </c>
      <c r="E26" s="866" t="s">
        <v>1909</v>
      </c>
      <c r="F26" s="866"/>
      <c r="G26" s="895" t="s">
        <v>1910</v>
      </c>
      <c r="H26" s="895" t="s">
        <v>1910</v>
      </c>
      <c r="I26" s="895" t="s">
        <v>1910</v>
      </c>
      <c r="J26" s="866"/>
      <c r="K26" s="866"/>
      <c r="L26" s="869" t="s">
        <v>1870</v>
      </c>
      <c r="M26" s="830" t="e">
        <f t="shared" si="0"/>
        <v>#VALUE!</v>
      </c>
    </row>
    <row r="27" spans="1:13" ht="39" thickBot="1" x14ac:dyDescent="0.3">
      <c r="A27" s="841"/>
      <c r="B27" s="847"/>
      <c r="C27" s="1437"/>
      <c r="D27" s="870">
        <v>24</v>
      </c>
      <c r="E27" s="871" t="s">
        <v>1911</v>
      </c>
      <c r="F27" s="871"/>
      <c r="G27" s="874" t="s">
        <v>1910</v>
      </c>
      <c r="H27" s="874" t="s">
        <v>1910</v>
      </c>
      <c r="I27" s="874" t="s">
        <v>1910</v>
      </c>
      <c r="J27" s="871"/>
      <c r="K27" s="871"/>
      <c r="L27" s="873" t="s">
        <v>1870</v>
      </c>
      <c r="M27" s="830" t="e">
        <f t="shared" si="0"/>
        <v>#VALUE!</v>
      </c>
    </row>
    <row r="28" spans="1:13" ht="34.5" customHeight="1" x14ac:dyDescent="0.25">
      <c r="A28" s="841"/>
      <c r="B28" s="847"/>
      <c r="C28" s="1432" t="s">
        <v>1912</v>
      </c>
      <c r="D28" s="848">
        <v>25</v>
      </c>
      <c r="E28" s="849" t="s">
        <v>2067</v>
      </c>
      <c r="F28" s="849" t="s">
        <v>1913</v>
      </c>
      <c r="G28" s="850">
        <v>85364471</v>
      </c>
      <c r="H28" s="850">
        <v>68291577</v>
      </c>
      <c r="I28" s="850">
        <v>46711097</v>
      </c>
      <c r="J28" s="849" t="s">
        <v>1914</v>
      </c>
      <c r="K28" s="849" t="s">
        <v>1878</v>
      </c>
      <c r="L28" s="852" t="s">
        <v>1868</v>
      </c>
      <c r="M28" s="830">
        <f t="shared" si="0"/>
        <v>68.399499692326629</v>
      </c>
    </row>
    <row r="29" spans="1:13" ht="34.5" customHeight="1" x14ac:dyDescent="0.25">
      <c r="A29" s="841"/>
      <c r="B29" s="847"/>
      <c r="C29" s="1433"/>
      <c r="D29" s="853">
        <v>26</v>
      </c>
      <c r="E29" s="1244" t="s">
        <v>2068</v>
      </c>
      <c r="F29" s="1244"/>
      <c r="G29" s="854">
        <v>310658012</v>
      </c>
      <c r="H29" s="854">
        <v>248526410</v>
      </c>
      <c r="I29" s="854">
        <v>174751982</v>
      </c>
      <c r="J29" s="835"/>
      <c r="K29" s="835"/>
      <c r="L29" s="856" t="s">
        <v>1870</v>
      </c>
      <c r="M29" s="830">
        <f t="shared" si="0"/>
        <v>70.315256233733862</v>
      </c>
    </row>
    <row r="30" spans="1:13" ht="51.75" thickBot="1" x14ac:dyDescent="0.3">
      <c r="A30" s="841"/>
      <c r="B30" s="847"/>
      <c r="C30" s="1434"/>
      <c r="D30" s="857">
        <v>27</v>
      </c>
      <c r="E30" s="838" t="s">
        <v>1915</v>
      </c>
      <c r="F30" s="838"/>
      <c r="G30" s="896">
        <v>622141250</v>
      </c>
      <c r="H30" s="896">
        <v>497713000</v>
      </c>
      <c r="I30" s="896">
        <v>352412000</v>
      </c>
      <c r="J30" s="838"/>
      <c r="K30" s="838"/>
      <c r="L30" s="859" t="s">
        <v>1870</v>
      </c>
      <c r="M30" s="830">
        <f t="shared" si="0"/>
        <v>70.806267869233878</v>
      </c>
    </row>
    <row r="31" spans="1:13" ht="38.25" x14ac:dyDescent="0.25">
      <c r="A31" s="841"/>
      <c r="B31" s="847"/>
      <c r="C31" s="1435" t="s">
        <v>1916</v>
      </c>
      <c r="D31" s="860">
        <v>28</v>
      </c>
      <c r="E31" s="861" t="s">
        <v>1917</v>
      </c>
      <c r="F31" s="861"/>
      <c r="G31" s="897">
        <v>100000000</v>
      </c>
      <c r="H31" s="897">
        <v>80000000</v>
      </c>
      <c r="I31" s="897" t="s">
        <v>1910</v>
      </c>
      <c r="J31" s="898"/>
      <c r="K31" s="898"/>
      <c r="L31" s="864" t="s">
        <v>1870</v>
      </c>
      <c r="M31" s="830" t="e">
        <f t="shared" si="0"/>
        <v>#VALUE!</v>
      </c>
    </row>
    <row r="32" spans="1:13" ht="38.25" x14ac:dyDescent="0.25">
      <c r="A32" s="841"/>
      <c r="B32" s="847"/>
      <c r="C32" s="1436"/>
      <c r="D32" s="865">
        <v>29</v>
      </c>
      <c r="E32" s="866" t="s">
        <v>1918</v>
      </c>
      <c r="F32" s="866"/>
      <c r="G32" s="867">
        <v>147197656.30000001</v>
      </c>
      <c r="H32" s="867">
        <v>117758125</v>
      </c>
      <c r="I32" s="867">
        <v>83305922.129999995</v>
      </c>
      <c r="J32" s="899"/>
      <c r="K32" s="899"/>
      <c r="L32" s="869" t="s">
        <v>1870</v>
      </c>
      <c r="M32" s="830">
        <f t="shared" si="0"/>
        <v>70.743247763158593</v>
      </c>
    </row>
    <row r="33" spans="1:13" ht="39" thickBot="1" x14ac:dyDescent="0.3">
      <c r="A33" s="841"/>
      <c r="B33" s="847"/>
      <c r="C33" s="1437"/>
      <c r="D33" s="870">
        <v>30</v>
      </c>
      <c r="E33" s="871" t="s">
        <v>1919</v>
      </c>
      <c r="F33" s="874"/>
      <c r="G33" s="874">
        <v>813467528.75</v>
      </c>
      <c r="H33" s="874">
        <v>650774023</v>
      </c>
      <c r="I33" s="874">
        <v>460580000</v>
      </c>
      <c r="J33" s="874"/>
      <c r="K33" s="874"/>
      <c r="L33" s="873" t="s">
        <v>1870</v>
      </c>
      <c r="M33" s="830">
        <f t="shared" si="0"/>
        <v>70.774183314320766</v>
      </c>
    </row>
    <row r="34" spans="1:13" ht="36.75" customHeight="1" x14ac:dyDescent="0.25">
      <c r="A34" s="841"/>
      <c r="B34" s="847"/>
      <c r="C34" s="1432" t="s">
        <v>1920</v>
      </c>
      <c r="D34" s="848">
        <v>31</v>
      </c>
      <c r="E34" s="849" t="s">
        <v>1921</v>
      </c>
      <c r="F34" s="849" t="s">
        <v>1922</v>
      </c>
      <c r="G34" s="850">
        <v>114593943</v>
      </c>
      <c r="H34" s="850">
        <v>91675154</v>
      </c>
      <c r="I34" s="850">
        <v>58916189</v>
      </c>
      <c r="J34" s="849" t="s">
        <v>1897</v>
      </c>
      <c r="K34" s="849" t="s">
        <v>1878</v>
      </c>
      <c r="L34" s="852" t="s">
        <v>1888</v>
      </c>
      <c r="M34" s="830">
        <f t="shared" si="0"/>
        <v>64.26625582761497</v>
      </c>
    </row>
    <row r="35" spans="1:13" ht="36.75" customHeight="1" x14ac:dyDescent="0.25">
      <c r="A35" s="841"/>
      <c r="B35" s="847"/>
      <c r="C35" s="1433"/>
      <c r="D35" s="853">
        <v>32</v>
      </c>
      <c r="E35" s="1244" t="s">
        <v>1923</v>
      </c>
      <c r="F35" s="1244"/>
      <c r="G35" s="854">
        <v>218251468</v>
      </c>
      <c r="H35" s="854">
        <v>174601174</v>
      </c>
      <c r="I35" s="854">
        <v>126068091</v>
      </c>
      <c r="J35" s="854">
        <v>218251468</v>
      </c>
      <c r="K35" s="854">
        <v>218251468</v>
      </c>
      <c r="L35" s="856" t="s">
        <v>1868</v>
      </c>
      <c r="M35" s="830">
        <f t="shared" si="0"/>
        <v>72.20346124362257</v>
      </c>
    </row>
    <row r="36" spans="1:13" ht="36.75" customHeight="1" x14ac:dyDescent="0.25">
      <c r="A36" s="841"/>
      <c r="B36" s="847"/>
      <c r="C36" s="1433"/>
      <c r="D36" s="853">
        <v>33</v>
      </c>
      <c r="E36" s="1244" t="s">
        <v>1924</v>
      </c>
      <c r="F36" s="1244"/>
      <c r="G36" s="1245">
        <v>312500000</v>
      </c>
      <c r="H36" s="1245">
        <v>250000000</v>
      </c>
      <c r="I36" s="1245" t="s">
        <v>1910</v>
      </c>
      <c r="J36" s="854"/>
      <c r="K36" s="854"/>
      <c r="L36" s="856" t="s">
        <v>1925</v>
      </c>
      <c r="M36" s="830" t="e">
        <f t="shared" si="0"/>
        <v>#VALUE!</v>
      </c>
    </row>
    <row r="37" spans="1:13" ht="36.75" customHeight="1" x14ac:dyDescent="0.25">
      <c r="A37" s="841"/>
      <c r="B37" s="847"/>
      <c r="C37" s="1433"/>
      <c r="D37" s="853">
        <v>34</v>
      </c>
      <c r="E37" s="1244" t="s">
        <v>1926</v>
      </c>
      <c r="F37" s="1244"/>
      <c r="G37" s="1245" t="s">
        <v>1910</v>
      </c>
      <c r="H37" s="1245" t="s">
        <v>1910</v>
      </c>
      <c r="I37" s="1245" t="s">
        <v>1910</v>
      </c>
      <c r="J37" s="854"/>
      <c r="K37" s="854"/>
      <c r="L37" s="856" t="s">
        <v>1925</v>
      </c>
      <c r="M37" s="830" t="e">
        <f t="shared" si="0"/>
        <v>#VALUE!</v>
      </c>
    </row>
    <row r="38" spans="1:13" ht="39" thickBot="1" x14ac:dyDescent="0.3">
      <c r="A38" s="841"/>
      <c r="B38" s="847"/>
      <c r="C38" s="1438"/>
      <c r="D38" s="876">
        <v>35</v>
      </c>
      <c r="E38" s="877" t="s">
        <v>1927</v>
      </c>
      <c r="F38" s="877" t="s">
        <v>1928</v>
      </c>
      <c r="G38" s="878">
        <v>63406932.5</v>
      </c>
      <c r="H38" s="878">
        <v>50725546</v>
      </c>
      <c r="I38" s="878">
        <v>36115030</v>
      </c>
      <c r="J38" s="877" t="s">
        <v>1929</v>
      </c>
      <c r="K38" s="877" t="s">
        <v>1878</v>
      </c>
      <c r="L38" s="880" t="s">
        <v>1925</v>
      </c>
      <c r="M38" s="830">
        <f t="shared" si="0"/>
        <v>71.196927086797643</v>
      </c>
    </row>
    <row r="39" spans="1:13" ht="38.25" x14ac:dyDescent="0.25">
      <c r="A39" s="841"/>
      <c r="B39" s="847"/>
      <c r="C39" s="1428" t="s">
        <v>1930</v>
      </c>
      <c r="D39" s="881">
        <v>36</v>
      </c>
      <c r="E39" s="882" t="s">
        <v>1931</v>
      </c>
      <c r="F39" s="882" t="s">
        <v>1932</v>
      </c>
      <c r="G39" s="883">
        <v>117500000</v>
      </c>
      <c r="H39" s="900">
        <v>94000000</v>
      </c>
      <c r="I39" s="883" t="s">
        <v>1910</v>
      </c>
      <c r="J39" s="882" t="s">
        <v>1933</v>
      </c>
      <c r="K39" s="882" t="s">
        <v>1933</v>
      </c>
      <c r="L39" s="901" t="s">
        <v>1868</v>
      </c>
      <c r="M39" s="830" t="e">
        <f t="shared" si="0"/>
        <v>#VALUE!</v>
      </c>
    </row>
    <row r="40" spans="1:13" ht="38.25" x14ac:dyDescent="0.25">
      <c r="A40" s="841"/>
      <c r="B40" s="847"/>
      <c r="C40" s="1429"/>
      <c r="D40" s="865">
        <v>37</v>
      </c>
      <c r="E40" s="866" t="s">
        <v>1934</v>
      </c>
      <c r="F40" s="866" t="s">
        <v>1935</v>
      </c>
      <c r="G40" s="867">
        <v>312500000</v>
      </c>
      <c r="H40" s="899">
        <v>250000000</v>
      </c>
      <c r="I40" s="867" t="s">
        <v>1910</v>
      </c>
      <c r="J40" s="866" t="s">
        <v>1933</v>
      </c>
      <c r="K40" s="866" t="s">
        <v>1933</v>
      </c>
      <c r="L40" s="902" t="s">
        <v>1868</v>
      </c>
      <c r="M40" s="830" t="e">
        <f t="shared" si="0"/>
        <v>#VALUE!</v>
      </c>
    </row>
    <row r="41" spans="1:13" ht="38.25" x14ac:dyDescent="0.25">
      <c r="A41" s="841"/>
      <c r="B41" s="847"/>
      <c r="C41" s="1429"/>
      <c r="D41" s="865">
        <v>38</v>
      </c>
      <c r="E41" s="866" t="s">
        <v>1936</v>
      </c>
      <c r="F41" s="866" t="s">
        <v>1937</v>
      </c>
      <c r="G41" s="899">
        <v>183766949</v>
      </c>
      <c r="H41" s="899">
        <v>147013559</v>
      </c>
      <c r="I41" s="867">
        <v>104775512</v>
      </c>
      <c r="J41" s="866" t="s">
        <v>1929</v>
      </c>
      <c r="K41" s="866" t="s">
        <v>1878</v>
      </c>
      <c r="L41" s="869" t="s">
        <v>1868</v>
      </c>
      <c r="M41" s="830">
        <f t="shared" si="0"/>
        <v>71.269284760326087</v>
      </c>
    </row>
    <row r="42" spans="1:13" ht="25.5" x14ac:dyDescent="0.25">
      <c r="A42" s="841"/>
      <c r="B42" s="847"/>
      <c r="C42" s="1429"/>
      <c r="D42" s="865">
        <v>39</v>
      </c>
      <c r="E42" s="866" t="s">
        <v>1938</v>
      </c>
      <c r="F42" s="866" t="s">
        <v>1939</v>
      </c>
      <c r="G42" s="899">
        <v>664105725</v>
      </c>
      <c r="H42" s="899">
        <v>531284580</v>
      </c>
      <c r="I42" s="867">
        <v>376573331</v>
      </c>
      <c r="J42" s="866" t="s">
        <v>1940</v>
      </c>
      <c r="K42" s="866" t="s">
        <v>1875</v>
      </c>
      <c r="L42" s="869" t="s">
        <v>1901</v>
      </c>
      <c r="M42" s="830">
        <f t="shared" si="0"/>
        <v>70.879778027813273</v>
      </c>
    </row>
    <row r="43" spans="1:13" ht="39" thickBot="1" x14ac:dyDescent="0.3">
      <c r="A43" s="841"/>
      <c r="B43" s="847"/>
      <c r="C43" s="1430"/>
      <c r="D43" s="870">
        <v>40</v>
      </c>
      <c r="E43" s="871" t="s">
        <v>1941</v>
      </c>
      <c r="F43" s="871" t="s">
        <v>1937</v>
      </c>
      <c r="G43" s="1204">
        <v>500000000</v>
      </c>
      <c r="H43" s="1204">
        <v>400000000</v>
      </c>
      <c r="I43" s="1203">
        <v>284000000</v>
      </c>
      <c r="J43" s="871" t="s">
        <v>1942</v>
      </c>
      <c r="K43" s="871" t="s">
        <v>1878</v>
      </c>
      <c r="L43" s="873" t="s">
        <v>1870</v>
      </c>
      <c r="M43" s="830">
        <f t="shared" si="0"/>
        <v>71</v>
      </c>
    </row>
    <row r="44" spans="1:13" ht="30" customHeight="1" x14ac:dyDescent="0.25">
      <c r="A44" s="841"/>
      <c r="B44" s="847"/>
      <c r="C44" s="1432" t="s">
        <v>1943</v>
      </c>
      <c r="D44" s="848">
        <v>41</v>
      </c>
      <c r="E44" s="849" t="s">
        <v>1944</v>
      </c>
      <c r="F44" s="849" t="s">
        <v>1945</v>
      </c>
      <c r="G44" s="875">
        <v>370379174</v>
      </c>
      <c r="H44" s="875">
        <v>296303339.19999999</v>
      </c>
      <c r="I44" s="850">
        <v>210880568.02000001</v>
      </c>
      <c r="J44" s="849" t="s">
        <v>1914</v>
      </c>
      <c r="K44" s="849" t="s">
        <v>1875</v>
      </c>
      <c r="L44" s="852" t="s">
        <v>1868</v>
      </c>
      <c r="M44" s="830">
        <f t="shared" si="0"/>
        <v>71.170499998199148</v>
      </c>
    </row>
    <row r="45" spans="1:13" ht="36" customHeight="1" x14ac:dyDescent="0.25">
      <c r="A45" s="841"/>
      <c r="B45" s="847"/>
      <c r="C45" s="1433"/>
      <c r="D45" s="853">
        <v>42</v>
      </c>
      <c r="E45" s="1244" t="s">
        <v>1946</v>
      </c>
      <c r="F45" s="1244" t="s">
        <v>1947</v>
      </c>
      <c r="G45" s="835">
        <v>631209020</v>
      </c>
      <c r="H45" s="835">
        <v>501967216</v>
      </c>
      <c r="I45" s="854">
        <v>356224288.31999999</v>
      </c>
      <c r="J45" s="1244" t="s">
        <v>1914</v>
      </c>
      <c r="K45" s="1244" t="s">
        <v>1875</v>
      </c>
      <c r="L45" s="856" t="s">
        <v>1868</v>
      </c>
      <c r="M45" s="830">
        <f t="shared" si="0"/>
        <v>70.965648147029583</v>
      </c>
    </row>
    <row r="46" spans="1:13" ht="36" customHeight="1" x14ac:dyDescent="0.25">
      <c r="A46" s="841"/>
      <c r="B46" s="847"/>
      <c r="C46" s="1433"/>
      <c r="D46" s="853">
        <v>43</v>
      </c>
      <c r="E46" s="1244" t="s">
        <v>1948</v>
      </c>
      <c r="F46" s="1244" t="s">
        <v>1949</v>
      </c>
      <c r="G46" s="835">
        <v>166835036</v>
      </c>
      <c r="H46" s="835">
        <v>133468029</v>
      </c>
      <c r="I46" s="854">
        <v>95409621</v>
      </c>
      <c r="J46" s="1244" t="s">
        <v>1897</v>
      </c>
      <c r="K46" s="1244" t="s">
        <v>1878</v>
      </c>
      <c r="L46" s="856" t="s">
        <v>1868</v>
      </c>
      <c r="M46" s="830">
        <f t="shared" si="0"/>
        <v>71.485000351657249</v>
      </c>
    </row>
    <row r="47" spans="1:13" ht="36" customHeight="1" x14ac:dyDescent="0.25">
      <c r="A47" s="841"/>
      <c r="B47" s="847"/>
      <c r="C47" s="1433"/>
      <c r="D47" s="853">
        <v>44</v>
      </c>
      <c r="E47" s="1244" t="s">
        <v>1950</v>
      </c>
      <c r="F47" s="1244"/>
      <c r="G47" s="1245" t="s">
        <v>1910</v>
      </c>
      <c r="H47" s="1245" t="s">
        <v>1910</v>
      </c>
      <c r="I47" s="1245" t="s">
        <v>1910</v>
      </c>
      <c r="J47" s="1244"/>
      <c r="K47" s="1244"/>
      <c r="L47" s="856" t="s">
        <v>1870</v>
      </c>
      <c r="M47" s="830" t="e">
        <f t="shared" si="0"/>
        <v>#VALUE!</v>
      </c>
    </row>
    <row r="48" spans="1:13" ht="36" customHeight="1" thickBot="1" x14ac:dyDescent="0.3">
      <c r="A48" s="841"/>
      <c r="B48" s="847"/>
      <c r="C48" s="1438"/>
      <c r="D48" s="876">
        <v>45</v>
      </c>
      <c r="E48" s="877" t="s">
        <v>1951</v>
      </c>
      <c r="F48" s="877"/>
      <c r="G48" s="1205">
        <v>375000000</v>
      </c>
      <c r="H48" s="1205">
        <v>300000000</v>
      </c>
      <c r="I48" s="1205">
        <v>213000000</v>
      </c>
      <c r="J48" s="877"/>
      <c r="K48" s="877"/>
      <c r="L48" s="880" t="s">
        <v>1870</v>
      </c>
      <c r="M48" s="830">
        <f t="shared" si="0"/>
        <v>71</v>
      </c>
    </row>
    <row r="49" spans="1:13" ht="25.5" x14ac:dyDescent="0.25">
      <c r="A49" s="841"/>
      <c r="B49" s="847"/>
      <c r="C49" s="903" t="s">
        <v>1952</v>
      </c>
      <c r="D49" s="904">
        <v>46</v>
      </c>
      <c r="E49" s="905" t="s">
        <v>1953</v>
      </c>
      <c r="F49" s="906" t="s">
        <v>1954</v>
      </c>
      <c r="G49" s="899">
        <v>268937291</v>
      </c>
      <c r="H49" s="899">
        <v>215149833</v>
      </c>
      <c r="I49" s="899">
        <v>144363393</v>
      </c>
      <c r="J49" s="899" t="s">
        <v>1914</v>
      </c>
      <c r="K49" s="899" t="s">
        <v>1878</v>
      </c>
      <c r="L49" s="899" t="s">
        <v>1868</v>
      </c>
      <c r="M49" s="830">
        <f t="shared" si="0"/>
        <v>67.099003046867338</v>
      </c>
    </row>
    <row r="50" spans="1:13" ht="38.25" x14ac:dyDescent="0.25">
      <c r="A50" s="841"/>
      <c r="B50" s="847"/>
      <c r="C50" s="1433" t="s">
        <v>1955</v>
      </c>
      <c r="D50" s="853">
        <v>47</v>
      </c>
      <c r="E50" s="1244" t="s">
        <v>1956</v>
      </c>
      <c r="F50" s="1244" t="s">
        <v>1957</v>
      </c>
      <c r="G50" s="835">
        <f>1.25*H50</f>
        <v>335288511.25</v>
      </c>
      <c r="H50" s="835">
        <v>268230809</v>
      </c>
      <c r="I50" s="835">
        <v>188347650.61766499</v>
      </c>
      <c r="J50" s="1244" t="s">
        <v>1933</v>
      </c>
      <c r="K50" s="1244" t="s">
        <v>1933</v>
      </c>
      <c r="L50" s="856" t="s">
        <v>1868</v>
      </c>
      <c r="M50" s="830">
        <f t="shared" si="0"/>
        <v>70.218499999999992</v>
      </c>
    </row>
    <row r="51" spans="1:13" ht="25.5" x14ac:dyDescent="0.25">
      <c r="A51" s="841"/>
      <c r="B51" s="847"/>
      <c r="C51" s="1433"/>
      <c r="D51" s="853">
        <v>48</v>
      </c>
      <c r="E51" s="1244" t="s">
        <v>1958</v>
      </c>
      <c r="F51" s="1244" t="s">
        <v>1959</v>
      </c>
      <c r="G51" s="835">
        <v>368013662.5</v>
      </c>
      <c r="H51" s="835">
        <v>294410930</v>
      </c>
      <c r="I51" s="835">
        <v>206264297.56</v>
      </c>
      <c r="J51" s="1244" t="s">
        <v>1960</v>
      </c>
      <c r="K51" s="1244" t="s">
        <v>1875</v>
      </c>
      <c r="L51" s="856" t="s">
        <v>1868</v>
      </c>
      <c r="M51" s="830">
        <f t="shared" si="0"/>
        <v>70.060000000679324</v>
      </c>
    </row>
    <row r="52" spans="1:13" x14ac:dyDescent="0.2">
      <c r="A52" s="841"/>
      <c r="B52" s="847"/>
      <c r="C52" s="1433"/>
      <c r="D52" s="853">
        <v>49</v>
      </c>
      <c r="E52" s="907" t="s">
        <v>1961</v>
      </c>
      <c r="F52" s="1244"/>
      <c r="G52" s="1245" t="s">
        <v>1910</v>
      </c>
      <c r="H52" s="1245" t="s">
        <v>1910</v>
      </c>
      <c r="I52" s="1245" t="s">
        <v>1910</v>
      </c>
      <c r="J52" s="1244"/>
      <c r="K52" s="1244"/>
      <c r="L52" s="856" t="s">
        <v>1870</v>
      </c>
      <c r="M52" s="830" t="e">
        <f t="shared" si="0"/>
        <v>#VALUE!</v>
      </c>
    </row>
    <row r="53" spans="1:13" x14ac:dyDescent="0.25">
      <c r="A53" s="841"/>
      <c r="B53" s="847"/>
      <c r="C53" s="1433"/>
      <c r="D53" s="853">
        <v>50</v>
      </c>
      <c r="E53" s="1244" t="s">
        <v>1962</v>
      </c>
      <c r="F53" s="1244"/>
      <c r="G53" s="1245" t="s">
        <v>1910</v>
      </c>
      <c r="H53" s="1245" t="s">
        <v>1910</v>
      </c>
      <c r="I53" s="1245" t="s">
        <v>1910</v>
      </c>
      <c r="J53" s="1244"/>
      <c r="K53" s="1244"/>
      <c r="L53" s="856" t="s">
        <v>1870</v>
      </c>
      <c r="M53" s="830" t="e">
        <f t="shared" si="0"/>
        <v>#VALUE!</v>
      </c>
    </row>
    <row r="54" spans="1:13" ht="26.25" thickBot="1" x14ac:dyDescent="0.3">
      <c r="A54" s="841"/>
      <c r="B54" s="847"/>
      <c r="C54" s="1438"/>
      <c r="D54" s="876">
        <v>51</v>
      </c>
      <c r="E54" s="877" t="s">
        <v>1963</v>
      </c>
      <c r="F54" s="877"/>
      <c r="G54" s="1206">
        <v>2190436688</v>
      </c>
      <c r="H54" s="1206">
        <v>1752349350</v>
      </c>
      <c r="I54" s="1206">
        <v>1218489479</v>
      </c>
      <c r="J54" s="877"/>
      <c r="K54" s="877"/>
      <c r="L54" s="880" t="s">
        <v>1870</v>
      </c>
      <c r="M54" s="830">
        <f t="shared" si="0"/>
        <v>69.534620993239741</v>
      </c>
    </row>
    <row r="55" spans="1:13" ht="30" customHeight="1" thickBot="1" x14ac:dyDescent="0.3">
      <c r="A55" s="841"/>
      <c r="B55" s="847"/>
      <c r="C55" s="903" t="s">
        <v>1964</v>
      </c>
      <c r="D55" s="904">
        <v>52</v>
      </c>
      <c r="E55" s="905" t="s">
        <v>1965</v>
      </c>
      <c r="F55" s="908"/>
      <c r="G55" s="909">
        <v>479180868.75</v>
      </c>
      <c r="H55" s="909">
        <v>383344695</v>
      </c>
      <c r="I55" s="909">
        <v>249365000</v>
      </c>
      <c r="J55" s="909"/>
      <c r="K55" s="909"/>
      <c r="L55" s="910" t="s">
        <v>1888</v>
      </c>
      <c r="M55" s="830">
        <f t="shared" si="0"/>
        <v>65.049811110598526</v>
      </c>
    </row>
    <row r="56" spans="1:13" ht="30" customHeight="1" x14ac:dyDescent="0.25">
      <c r="A56" s="841"/>
      <c r="B56" s="847"/>
      <c r="C56" s="1432" t="s">
        <v>1966</v>
      </c>
      <c r="D56" s="848">
        <v>53</v>
      </c>
      <c r="E56" s="849" t="s">
        <v>1967</v>
      </c>
      <c r="F56" s="849" t="s">
        <v>1968</v>
      </c>
      <c r="G56" s="875">
        <v>221543865.78999999</v>
      </c>
      <c r="H56" s="875">
        <v>177235092</v>
      </c>
      <c r="I56" s="875">
        <v>121644772.53</v>
      </c>
      <c r="J56" s="849" t="s">
        <v>1933</v>
      </c>
      <c r="K56" s="849" t="s">
        <v>1933</v>
      </c>
      <c r="L56" s="852" t="s">
        <v>1888</v>
      </c>
      <c r="M56" s="830">
        <f t="shared" si="0"/>
        <v>68.634699346109173</v>
      </c>
    </row>
    <row r="57" spans="1:13" ht="28.5" customHeight="1" x14ac:dyDescent="0.25">
      <c r="A57" s="841"/>
      <c r="B57" s="847"/>
      <c r="C57" s="1433"/>
      <c r="D57" s="853">
        <v>54</v>
      </c>
      <c r="E57" s="1244" t="s">
        <v>1969</v>
      </c>
      <c r="F57" s="1244" t="s">
        <v>1968</v>
      </c>
      <c r="G57" s="835">
        <v>194375678.75</v>
      </c>
      <c r="H57" s="835">
        <v>155500543</v>
      </c>
      <c r="I57" s="835">
        <v>109550132.54350001</v>
      </c>
      <c r="J57" s="1244" t="s">
        <v>1933</v>
      </c>
      <c r="K57" s="1244" t="s">
        <v>1933</v>
      </c>
      <c r="L57" s="856" t="s">
        <v>1868</v>
      </c>
      <c r="M57" s="830">
        <f t="shared" si="0"/>
        <v>70.45</v>
      </c>
    </row>
    <row r="58" spans="1:13" ht="36.75" customHeight="1" x14ac:dyDescent="0.25">
      <c r="A58" s="841"/>
      <c r="B58" s="847"/>
      <c r="C58" s="1433"/>
      <c r="D58" s="853">
        <v>55</v>
      </c>
      <c r="E58" s="1244" t="s">
        <v>1970</v>
      </c>
      <c r="F58" s="1244" t="s">
        <v>1971</v>
      </c>
      <c r="G58" s="835">
        <v>299197470</v>
      </c>
      <c r="H58" s="835">
        <v>239357976</v>
      </c>
      <c r="I58" s="835">
        <v>165284000</v>
      </c>
      <c r="J58" s="1244" t="s">
        <v>1897</v>
      </c>
      <c r="K58" s="1244" t="s">
        <v>1875</v>
      </c>
      <c r="L58" s="856" t="s">
        <v>1868</v>
      </c>
      <c r="M58" s="830">
        <f t="shared" si="0"/>
        <v>69.053057166559597</v>
      </c>
    </row>
    <row r="59" spans="1:13" ht="36.75" customHeight="1" thickBot="1" x14ac:dyDescent="0.3">
      <c r="A59" s="841"/>
      <c r="B59" s="847"/>
      <c r="C59" s="1434"/>
      <c r="D59" s="857">
        <v>56</v>
      </c>
      <c r="E59" s="837" t="s">
        <v>1972</v>
      </c>
      <c r="F59" s="911"/>
      <c r="G59" s="911" t="s">
        <v>1910</v>
      </c>
      <c r="H59" s="911" t="s">
        <v>1910</v>
      </c>
      <c r="I59" s="911" t="s">
        <v>1910</v>
      </c>
      <c r="J59" s="896"/>
      <c r="K59" s="896"/>
      <c r="L59" s="859" t="s">
        <v>1925</v>
      </c>
      <c r="M59" s="830" t="e">
        <f t="shared" si="0"/>
        <v>#VALUE!</v>
      </c>
    </row>
    <row r="60" spans="1:13" ht="36.75" customHeight="1" x14ac:dyDescent="0.25">
      <c r="A60" s="841"/>
      <c r="B60" s="847"/>
      <c r="C60" s="1435" t="s">
        <v>1973</v>
      </c>
      <c r="D60" s="860">
        <v>57</v>
      </c>
      <c r="E60" s="861" t="s">
        <v>1974</v>
      </c>
      <c r="F60" s="861" t="s">
        <v>1975</v>
      </c>
      <c r="G60" s="898">
        <v>234769241.25</v>
      </c>
      <c r="H60" s="898">
        <v>187815393</v>
      </c>
      <c r="I60" s="898">
        <v>136670444</v>
      </c>
      <c r="J60" s="861" t="s">
        <v>1933</v>
      </c>
      <c r="K60" s="861" t="s">
        <v>1933</v>
      </c>
      <c r="L60" s="864" t="s">
        <v>1888</v>
      </c>
      <c r="M60" s="830">
        <f t="shared" si="0"/>
        <v>72.768499864119235</v>
      </c>
    </row>
    <row r="61" spans="1:13" ht="29.25" customHeight="1" x14ac:dyDescent="0.25">
      <c r="A61" s="841"/>
      <c r="B61" s="847"/>
      <c r="C61" s="1436"/>
      <c r="D61" s="865">
        <v>58</v>
      </c>
      <c r="E61" s="866" t="s">
        <v>1976</v>
      </c>
      <c r="F61" s="866" t="s">
        <v>1975</v>
      </c>
      <c r="G61" s="899">
        <v>68277000</v>
      </c>
      <c r="H61" s="899">
        <v>54621600</v>
      </c>
      <c r="I61" s="899">
        <v>37696747</v>
      </c>
      <c r="J61" s="866" t="s">
        <v>1933</v>
      </c>
      <c r="K61" s="866" t="s">
        <v>1933</v>
      </c>
      <c r="L61" s="869" t="s">
        <v>1868</v>
      </c>
      <c r="M61" s="830">
        <f t="shared" si="0"/>
        <v>69.014358788464634</v>
      </c>
    </row>
    <row r="62" spans="1:13" ht="28.5" customHeight="1" thickBot="1" x14ac:dyDescent="0.3">
      <c r="A62" s="841"/>
      <c r="B62" s="847"/>
      <c r="C62" s="1439"/>
      <c r="D62" s="885">
        <v>59</v>
      </c>
      <c r="E62" s="886" t="s">
        <v>1977</v>
      </c>
      <c r="F62" s="886"/>
      <c r="G62" s="994">
        <v>29625000</v>
      </c>
      <c r="H62" s="994">
        <v>23700000</v>
      </c>
      <c r="I62" s="994">
        <v>17400000</v>
      </c>
      <c r="J62" s="886"/>
      <c r="K62" s="886"/>
      <c r="L62" s="888" t="s">
        <v>1868</v>
      </c>
      <c r="M62" s="830">
        <f t="shared" si="0"/>
        <v>73.417721518987349</v>
      </c>
    </row>
    <row r="63" spans="1:13" ht="15" customHeight="1" x14ac:dyDescent="0.25">
      <c r="A63" s="844"/>
      <c r="B63" s="912"/>
      <c r="C63" s="1440" t="s">
        <v>294</v>
      </c>
      <c r="D63" s="1441"/>
      <c r="E63" s="1442"/>
      <c r="F63" s="913"/>
      <c r="G63" s="914">
        <f>SUM(G4:G62)</f>
        <v>14764695280.09</v>
      </c>
      <c r="H63" s="914">
        <f>SUM(H4:H62)</f>
        <v>11814362996.290001</v>
      </c>
      <c r="I63" s="914">
        <f>SUM(I4:I62)</f>
        <v>7750418109.9911652</v>
      </c>
      <c r="J63" s="915"/>
      <c r="K63" s="915"/>
      <c r="L63" s="916"/>
    </row>
    <row r="64" spans="1:13" s="834" customFormat="1" ht="15" customHeight="1" x14ac:dyDescent="0.25">
      <c r="A64" s="836"/>
      <c r="B64" s="836"/>
      <c r="C64" s="836"/>
      <c r="D64" s="917"/>
      <c r="G64" s="918"/>
    </row>
    <row r="65" spans="1:16" s="834" customFormat="1" ht="15" customHeight="1" x14ac:dyDescent="0.25">
      <c r="A65" s="836"/>
      <c r="B65" s="836"/>
      <c r="C65" s="836"/>
      <c r="D65" s="917"/>
    </row>
    <row r="66" spans="1:16" s="834" customFormat="1" ht="15" customHeight="1" x14ac:dyDescent="0.25">
      <c r="A66" s="836"/>
      <c r="B66" s="836"/>
      <c r="C66" s="836"/>
      <c r="D66" s="917"/>
      <c r="G66" s="918"/>
      <c r="H66" s="918"/>
      <c r="I66" s="918"/>
    </row>
    <row r="67" spans="1:16" s="834" customFormat="1" ht="15" customHeight="1" x14ac:dyDescent="0.25">
      <c r="A67" s="836"/>
      <c r="B67" s="836"/>
      <c r="C67" s="836"/>
      <c r="D67" s="917"/>
      <c r="G67" s="918"/>
      <c r="H67" s="918"/>
      <c r="I67" s="918"/>
    </row>
    <row r="68" spans="1:16" s="834" customFormat="1" ht="15" customHeight="1" x14ac:dyDescent="0.25">
      <c r="A68" s="836"/>
      <c r="B68" s="836"/>
      <c r="C68" s="836"/>
      <c r="D68" s="917"/>
      <c r="G68" s="918"/>
      <c r="H68" s="918"/>
      <c r="I68" s="918"/>
    </row>
    <row r="69" spans="1:16" s="834" customFormat="1" ht="15" customHeight="1" x14ac:dyDescent="0.25">
      <c r="A69" s="836"/>
      <c r="B69" s="836"/>
      <c r="C69" s="836"/>
      <c r="D69" s="917"/>
      <c r="G69" s="918"/>
      <c r="H69" s="918"/>
      <c r="I69" s="918"/>
    </row>
    <row r="70" spans="1:16" s="834" customFormat="1" ht="15" customHeight="1" x14ac:dyDescent="0.25">
      <c r="A70" s="836"/>
      <c r="B70" s="836"/>
      <c r="C70" s="836"/>
      <c r="D70" s="917"/>
      <c r="G70" s="918"/>
      <c r="H70" s="918"/>
      <c r="I70" s="918"/>
    </row>
    <row r="71" spans="1:16" s="834" customFormat="1" ht="15" customHeight="1" x14ac:dyDescent="0.25">
      <c r="A71" s="836"/>
      <c r="B71" s="836"/>
      <c r="C71" s="836"/>
      <c r="D71" s="917"/>
      <c r="G71" s="918"/>
      <c r="H71" s="918"/>
      <c r="I71" s="918"/>
    </row>
    <row r="72" spans="1:16" s="834" customFormat="1" ht="15" customHeight="1" x14ac:dyDescent="0.25">
      <c r="A72" s="836"/>
      <c r="B72" s="836"/>
      <c r="C72" s="836"/>
      <c r="D72" s="917"/>
      <c r="G72" s="918"/>
      <c r="H72" s="918"/>
      <c r="I72" s="918"/>
    </row>
    <row r="73" spans="1:16" s="834" customFormat="1" ht="15" customHeight="1" x14ac:dyDescent="0.25">
      <c r="A73" s="836"/>
      <c r="B73" s="836"/>
      <c r="C73" s="836"/>
      <c r="D73" s="917"/>
      <c r="G73" s="918"/>
      <c r="H73" s="918"/>
      <c r="I73" s="918"/>
    </row>
    <row r="74" spans="1:16" s="834" customFormat="1" ht="15" customHeight="1" x14ac:dyDescent="0.25">
      <c r="A74" s="836"/>
      <c r="B74" s="836"/>
      <c r="C74" s="836"/>
      <c r="D74" s="917"/>
      <c r="G74" s="918"/>
      <c r="H74" s="918"/>
      <c r="I74" s="918"/>
      <c r="P74" s="834" t="s">
        <v>1713</v>
      </c>
    </row>
    <row r="75" spans="1:16" s="834" customFormat="1" ht="15" customHeight="1" x14ac:dyDescent="0.25">
      <c r="A75" s="836"/>
      <c r="B75" s="836"/>
      <c r="C75" s="836"/>
      <c r="D75" s="917"/>
      <c r="G75" s="918"/>
      <c r="H75" s="918"/>
      <c r="I75" s="918"/>
      <c r="N75" s="834" t="s">
        <v>1713</v>
      </c>
    </row>
    <row r="76" spans="1:16" s="834" customFormat="1" ht="15" customHeight="1" x14ac:dyDescent="0.25">
      <c r="A76" s="836"/>
      <c r="B76" s="836"/>
      <c r="C76" s="836"/>
      <c r="D76" s="917"/>
      <c r="G76" s="918"/>
      <c r="H76" s="918"/>
      <c r="I76" s="918"/>
    </row>
    <row r="77" spans="1:16" s="834" customFormat="1" ht="15" customHeight="1" x14ac:dyDescent="0.25">
      <c r="A77" s="836"/>
      <c r="B77" s="836"/>
      <c r="C77" s="836"/>
      <c r="D77" s="917"/>
      <c r="G77" s="918"/>
      <c r="H77" s="918"/>
      <c r="I77" s="918"/>
    </row>
    <row r="78" spans="1:16" s="834" customFormat="1" ht="15" customHeight="1" x14ac:dyDescent="0.25">
      <c r="A78" s="836"/>
      <c r="B78" s="836"/>
      <c r="C78" s="836"/>
      <c r="D78" s="917"/>
      <c r="G78" s="918"/>
      <c r="H78" s="918"/>
      <c r="I78" s="918"/>
    </row>
    <row r="79" spans="1:16" s="834" customFormat="1" ht="15" customHeight="1" x14ac:dyDescent="0.25">
      <c r="A79" s="836"/>
      <c r="B79" s="836"/>
      <c r="C79" s="836"/>
      <c r="D79" s="917"/>
      <c r="G79" s="918"/>
      <c r="H79" s="918"/>
      <c r="I79" s="918"/>
    </row>
    <row r="80" spans="1:16" s="834" customFormat="1" ht="15" customHeight="1" x14ac:dyDescent="0.25">
      <c r="A80" s="836"/>
      <c r="B80" s="836"/>
      <c r="C80" s="836"/>
      <c r="D80" s="917"/>
      <c r="G80" s="918"/>
      <c r="H80" s="918"/>
      <c r="I80" s="918"/>
    </row>
    <row r="81" spans="1:9" s="834" customFormat="1" ht="15" customHeight="1" x14ac:dyDescent="0.25">
      <c r="A81" s="836"/>
      <c r="B81" s="836"/>
      <c r="C81" s="836"/>
      <c r="D81" s="917"/>
      <c r="G81" s="918"/>
      <c r="H81" s="918"/>
      <c r="I81" s="918"/>
    </row>
    <row r="82" spans="1:9" s="834" customFormat="1" ht="15" customHeight="1" x14ac:dyDescent="0.25">
      <c r="A82" s="836"/>
      <c r="B82" s="836"/>
      <c r="C82" s="836"/>
      <c r="D82" s="917"/>
      <c r="G82" s="918"/>
      <c r="H82" s="918"/>
      <c r="I82" s="918"/>
    </row>
    <row r="83" spans="1:9" s="834" customFormat="1" ht="15.75" customHeight="1" x14ac:dyDescent="0.25">
      <c r="A83" s="836"/>
      <c r="B83" s="836"/>
      <c r="C83" s="836"/>
      <c r="D83" s="917"/>
      <c r="G83" s="918"/>
      <c r="H83" s="918"/>
      <c r="I83" s="918"/>
    </row>
    <row r="84" spans="1:9" s="834" customFormat="1" ht="51.75" customHeight="1" x14ac:dyDescent="0.25">
      <c r="A84" s="836"/>
      <c r="B84" s="836"/>
      <c r="C84" s="836"/>
      <c r="D84" s="917"/>
      <c r="G84" s="918"/>
      <c r="H84" s="918"/>
      <c r="I84" s="918"/>
    </row>
    <row r="85" spans="1:9" s="834" customFormat="1" ht="15" customHeight="1" x14ac:dyDescent="0.25">
      <c r="A85" s="836"/>
      <c r="B85" s="836"/>
      <c r="C85" s="836"/>
      <c r="D85" s="917"/>
      <c r="G85" s="918"/>
      <c r="H85" s="918"/>
      <c r="I85" s="918"/>
    </row>
    <row r="86" spans="1:9" s="834" customFormat="1" ht="15" customHeight="1" x14ac:dyDescent="0.25">
      <c r="A86" s="836"/>
      <c r="B86" s="836"/>
      <c r="C86" s="836"/>
      <c r="D86" s="917"/>
      <c r="G86" s="918"/>
      <c r="H86" s="918"/>
      <c r="I86" s="918"/>
    </row>
  </sheetData>
  <mergeCells count="17">
    <mergeCell ref="C44:C48"/>
    <mergeCell ref="C50:C54"/>
    <mergeCell ref="C56:C59"/>
    <mergeCell ref="C60:C62"/>
    <mergeCell ref="C63:E63"/>
    <mergeCell ref="C39:C43"/>
    <mergeCell ref="E1:I1"/>
    <mergeCell ref="C4:C6"/>
    <mergeCell ref="C7:C9"/>
    <mergeCell ref="C10:C14"/>
    <mergeCell ref="C15:C17"/>
    <mergeCell ref="C18:C19"/>
    <mergeCell ref="C20:C23"/>
    <mergeCell ref="C25:C27"/>
    <mergeCell ref="C28:C30"/>
    <mergeCell ref="C31:C33"/>
    <mergeCell ref="C34:C38"/>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8"/>
  <sheetViews>
    <sheetView workbookViewId="0">
      <selection activeCell="F8" sqref="F8"/>
    </sheetView>
  </sheetViews>
  <sheetFormatPr defaultColWidth="9.140625" defaultRowHeight="15" x14ac:dyDescent="0.25"/>
  <cols>
    <col min="1" max="1" width="9.140625" style="55"/>
    <col min="2" max="2" width="36.42578125" style="55" bestFit="1" customWidth="1"/>
    <col min="3" max="3" width="22.85546875" style="55" customWidth="1"/>
    <col min="4" max="4" width="16.42578125" style="55" hidden="1" customWidth="1"/>
    <col min="5" max="5" width="17.42578125" style="55" hidden="1" customWidth="1"/>
    <col min="6" max="7" width="23.5703125" style="55" customWidth="1"/>
    <col min="8" max="8" width="14.42578125" style="55" customWidth="1"/>
    <col min="9" max="9" width="13.28515625" style="55" hidden="1" customWidth="1"/>
    <col min="10" max="10" width="7.5703125" style="55" customWidth="1"/>
    <col min="11" max="11" width="15.42578125" style="55" bestFit="1" customWidth="1"/>
    <col min="12" max="12" width="11.5703125" style="55" bestFit="1" customWidth="1"/>
    <col min="13" max="13" width="11.7109375" style="55" bestFit="1" customWidth="1"/>
    <col min="14" max="16384" width="9.140625" style="55"/>
  </cols>
  <sheetData>
    <row r="1" spans="2:11" ht="15.75" thickBot="1" x14ac:dyDescent="0.3">
      <c r="C1" s="1443" t="s">
        <v>1978</v>
      </c>
      <c r="D1" s="1444"/>
      <c r="E1" s="1444"/>
      <c r="F1" s="1444"/>
      <c r="G1" s="1445"/>
      <c r="H1" s="558" t="s">
        <v>2127</v>
      </c>
      <c r="I1" s="558"/>
      <c r="K1" s="921"/>
    </row>
    <row r="2" spans="2:11" ht="18.75" x14ac:dyDescent="0.3">
      <c r="B2" s="751" t="s">
        <v>1351</v>
      </c>
      <c r="C2" s="1446" t="s">
        <v>1979</v>
      </c>
      <c r="D2" s="1447"/>
      <c r="E2" s="1447"/>
      <c r="F2" s="1447"/>
      <c r="G2" s="1448"/>
      <c r="H2" s="188"/>
    </row>
    <row r="3" spans="2:11" x14ac:dyDescent="0.25">
      <c r="B3" s="922"/>
      <c r="C3" s="922"/>
      <c r="D3" s="922"/>
      <c r="E3" s="922"/>
      <c r="G3" s="188"/>
    </row>
    <row r="4" spans="2:11" ht="15.75" thickBot="1" x14ac:dyDescent="0.3">
      <c r="B4" s="927"/>
      <c r="C4" s="928"/>
      <c r="D4" s="928"/>
      <c r="E4" s="928"/>
      <c r="F4" s="928"/>
      <c r="G4" s="928"/>
      <c r="H4" s="929"/>
      <c r="I4" s="929"/>
    </row>
    <row r="5" spans="2:11" ht="30" x14ac:dyDescent="0.25">
      <c r="B5" s="930" t="s">
        <v>1986</v>
      </c>
      <c r="C5" s="931" t="s">
        <v>1987</v>
      </c>
      <c r="D5" s="931"/>
      <c r="E5" s="931"/>
      <c r="F5" s="932" t="s">
        <v>1980</v>
      </c>
      <c r="G5" s="933" t="s">
        <v>1981</v>
      </c>
      <c r="H5" s="934" t="s">
        <v>1988</v>
      </c>
      <c r="I5" s="935"/>
    </row>
    <row r="6" spans="2:11" x14ac:dyDescent="0.25">
      <c r="B6" s="923" t="s">
        <v>2047</v>
      </c>
      <c r="C6" s="952">
        <v>158081893</v>
      </c>
      <c r="D6" s="952"/>
      <c r="E6" s="952"/>
      <c r="F6" s="968">
        <v>46872365.089999996</v>
      </c>
      <c r="G6" s="968">
        <f>C6-F6</f>
        <v>111209527.91</v>
      </c>
      <c r="H6" s="969">
        <f>F6/C6</f>
        <v>0.29650685603821808</v>
      </c>
      <c r="I6" s="924"/>
    </row>
    <row r="7" spans="2:11" x14ac:dyDescent="0.25">
      <c r="B7" s="923" t="s">
        <v>2048</v>
      </c>
      <c r="C7" s="952">
        <v>957971261</v>
      </c>
      <c r="D7" s="952"/>
      <c r="E7" s="952"/>
      <c r="F7" s="968">
        <v>287208615.10000002</v>
      </c>
      <c r="G7" s="968">
        <f t="shared" ref="G7:G8" si="0">C7-F7</f>
        <v>670762645.89999998</v>
      </c>
      <c r="H7" s="969">
        <f>F7/C7</f>
        <v>0.29980921849387299</v>
      </c>
      <c r="I7" s="924"/>
    </row>
    <row r="8" spans="2:11" x14ac:dyDescent="0.25">
      <c r="B8" s="923" t="s">
        <v>2049</v>
      </c>
      <c r="C8" s="952">
        <v>271107500</v>
      </c>
      <c r="D8" s="952"/>
      <c r="E8" s="952"/>
      <c r="F8" s="968">
        <v>8466075.4499999993</v>
      </c>
      <c r="G8" s="968">
        <f t="shared" si="0"/>
        <v>262641424.55000001</v>
      </c>
      <c r="H8" s="969">
        <f>F8/C8</f>
        <v>3.1227743422811982E-2</v>
      </c>
      <c r="I8" s="924"/>
    </row>
    <row r="9" spans="2:11" ht="15.75" thickBot="1" x14ac:dyDescent="0.3">
      <c r="B9" s="925" t="s">
        <v>1985</v>
      </c>
      <c r="C9" s="967">
        <v>0</v>
      </c>
      <c r="D9" s="967"/>
      <c r="E9" s="967"/>
      <c r="F9" s="967"/>
      <c r="G9" s="967"/>
      <c r="H9" s="926"/>
      <c r="I9" s="926"/>
    </row>
    <row r="10" spans="2:11" x14ac:dyDescent="0.25">
      <c r="B10" s="1449" t="s">
        <v>1989</v>
      </c>
      <c r="C10" s="1450"/>
      <c r="D10" s="1450"/>
      <c r="E10" s="1450"/>
      <c r="F10" s="1450"/>
      <c r="G10" s="1450"/>
      <c r="H10" s="1450"/>
      <c r="I10" s="1450"/>
    </row>
    <row r="11" spans="2:11" x14ac:dyDescent="0.25">
      <c r="B11" s="923" t="s">
        <v>1982</v>
      </c>
      <c r="C11" s="952">
        <v>1277422</v>
      </c>
      <c r="D11" s="952"/>
      <c r="E11" s="952"/>
      <c r="F11" s="952">
        <v>158574.79</v>
      </c>
      <c r="G11" s="952">
        <f>C11-F11</f>
        <v>1118847.21</v>
      </c>
      <c r="H11" s="924">
        <f>F11/C11</f>
        <v>0.12413657350507507</v>
      </c>
      <c r="I11" s="924"/>
    </row>
    <row r="12" spans="2:11" ht="15.75" thickBot="1" x14ac:dyDescent="0.3">
      <c r="B12" s="925" t="s">
        <v>1984</v>
      </c>
      <c r="C12" s="967">
        <v>7238729</v>
      </c>
      <c r="D12" s="967"/>
      <c r="E12" s="967"/>
      <c r="F12" s="967">
        <v>898590.45</v>
      </c>
      <c r="G12" s="967">
        <f>C12-F12</f>
        <v>6340138.5499999998</v>
      </c>
      <c r="H12" s="926">
        <f>F12/C12</f>
        <v>0.1241364955090873</v>
      </c>
      <c r="I12" s="926"/>
    </row>
    <row r="13" spans="2:11" x14ac:dyDescent="0.25">
      <c r="B13" s="927"/>
      <c r="C13" s="928"/>
      <c r="D13" s="928"/>
      <c r="E13" s="928"/>
      <c r="F13" s="928"/>
      <c r="G13" s="928"/>
      <c r="H13" s="929"/>
      <c r="I13" s="929"/>
    </row>
    <row r="14" spans="2:11" ht="15.75" thickBot="1" x14ac:dyDescent="0.3">
      <c r="B14" s="936"/>
      <c r="C14" s="527"/>
      <c r="D14" s="527"/>
      <c r="E14" s="527"/>
    </row>
    <row r="15" spans="2:11" ht="15.75" thickBot="1" x14ac:dyDescent="0.3">
      <c r="C15" s="937" t="s">
        <v>1990</v>
      </c>
      <c r="D15" s="938"/>
      <c r="E15" s="939"/>
      <c r="F15" s="940"/>
      <c r="G15" s="941"/>
      <c r="H15" s="942"/>
    </row>
    <row r="16" spans="2:11" ht="15.75" hidden="1" thickBot="1" x14ac:dyDescent="0.3">
      <c r="C16" s="1451" t="s">
        <v>1991</v>
      </c>
      <c r="D16" s="1452"/>
      <c r="E16" s="1452"/>
      <c r="F16" s="1452"/>
      <c r="G16" s="943"/>
      <c r="H16" s="942"/>
    </row>
    <row r="17" spans="2:11" ht="15.75" hidden="1" thickBot="1" x14ac:dyDescent="0.3">
      <c r="B17" s="922"/>
      <c r="C17" s="944"/>
      <c r="D17" s="944"/>
      <c r="E17" s="944"/>
      <c r="F17" s="945"/>
    </row>
    <row r="18" spans="2:11" ht="15.75" hidden="1" thickBot="1" x14ac:dyDescent="0.3">
      <c r="B18" s="946" t="s">
        <v>1992</v>
      </c>
      <c r="C18" s="947" t="s">
        <v>1993</v>
      </c>
      <c r="D18" s="947" t="s">
        <v>1994</v>
      </c>
      <c r="E18" s="947"/>
      <c r="F18" s="948" t="s">
        <v>1995</v>
      </c>
      <c r="G18" s="949" t="s">
        <v>1981</v>
      </c>
      <c r="H18" s="949" t="s">
        <v>1996</v>
      </c>
      <c r="I18" s="949" t="s">
        <v>1997</v>
      </c>
    </row>
    <row r="19" spans="2:11" ht="15.75" hidden="1" thickBot="1" x14ac:dyDescent="0.3">
      <c r="B19" s="950" t="s">
        <v>1982</v>
      </c>
      <c r="C19" s="951">
        <v>6299207</v>
      </c>
      <c r="D19" s="951">
        <v>2737208</v>
      </c>
      <c r="E19" s="951"/>
      <c r="F19" s="951">
        <v>2660800.15</v>
      </c>
      <c r="G19" s="952">
        <f>D19-F19</f>
        <v>76407.850000000093</v>
      </c>
      <c r="H19" s="924">
        <f>F19/C19</f>
        <v>0.42240239922263229</v>
      </c>
      <c r="I19" s="924">
        <f>F19/D19</f>
        <v>0.97208547907210552</v>
      </c>
    </row>
    <row r="20" spans="2:11" ht="15.75" hidden="1" thickBot="1" x14ac:dyDescent="0.3">
      <c r="B20" s="950" t="s">
        <v>1983</v>
      </c>
      <c r="C20" s="951">
        <v>131727415</v>
      </c>
      <c r="D20" s="951">
        <v>151235911</v>
      </c>
      <c r="E20" s="951"/>
      <c r="F20" s="951">
        <v>145880212.91999999</v>
      </c>
      <c r="G20" s="952">
        <f>D20-F20</f>
        <v>5355698.0800000131</v>
      </c>
      <c r="H20" s="924">
        <f>F20/C20</f>
        <v>1.1074400338001014</v>
      </c>
      <c r="I20" s="924">
        <f>F20/D20</f>
        <v>0.96458712719361994</v>
      </c>
    </row>
    <row r="21" spans="2:11" ht="15.75" hidden="1" thickBot="1" x14ac:dyDescent="0.3">
      <c r="B21" s="950" t="s">
        <v>1985</v>
      </c>
      <c r="C21" s="951">
        <v>26954140.34</v>
      </c>
      <c r="D21" s="951">
        <v>35898948.340000004</v>
      </c>
      <c r="E21" s="951"/>
      <c r="F21" s="951">
        <v>23690087.870000001</v>
      </c>
      <c r="G21" s="952">
        <f>D21-F21</f>
        <v>12208860.470000003</v>
      </c>
      <c r="H21" s="924">
        <f>F21/C21</f>
        <v>0.87890348462881085</v>
      </c>
      <c r="I21" s="924">
        <f>F21/D21</f>
        <v>0.65991035853280366</v>
      </c>
    </row>
    <row r="22" spans="2:11" ht="15.75" hidden="1" thickBot="1" x14ac:dyDescent="0.3">
      <c r="B22" s="922"/>
      <c r="C22" s="953"/>
      <c r="D22" s="953"/>
      <c r="E22" s="953"/>
      <c r="F22" s="953"/>
      <c r="G22" s="928"/>
      <c r="H22" s="929"/>
      <c r="I22" s="929"/>
    </row>
    <row r="23" spans="2:11" ht="15.75" thickBot="1" x14ac:dyDescent="0.3">
      <c r="B23" s="922"/>
      <c r="C23" s="954" t="s">
        <v>1993</v>
      </c>
      <c r="D23" s="954" t="s">
        <v>1994</v>
      </c>
      <c r="E23" s="954" t="s">
        <v>1994</v>
      </c>
      <c r="F23" s="954" t="s">
        <v>1980</v>
      </c>
      <c r="G23" s="928"/>
      <c r="H23" s="929"/>
      <c r="I23" s="929"/>
    </row>
    <row r="24" spans="2:11" ht="15.75" thickBot="1" x14ac:dyDescent="0.3">
      <c r="B24" s="954" t="s">
        <v>1998</v>
      </c>
      <c r="C24" s="955">
        <v>3564696</v>
      </c>
      <c r="D24" s="955"/>
      <c r="E24" s="955"/>
      <c r="F24" s="955">
        <v>107637.64</v>
      </c>
      <c r="G24" s="955">
        <f>C24-F24</f>
        <v>3457058.36</v>
      </c>
      <c r="H24" s="956">
        <f>F24/C24</f>
        <v>3.019546126794543E-2</v>
      </c>
      <c r="I24" s="956"/>
    </row>
    <row r="25" spans="2:11" x14ac:dyDescent="0.25">
      <c r="B25" s="957"/>
      <c r="C25" s="958"/>
      <c r="D25" s="958"/>
      <c r="E25" s="958"/>
      <c r="F25" s="958"/>
      <c r="G25" s="958"/>
      <c r="H25" s="959"/>
      <c r="I25" s="959"/>
    </row>
    <row r="27" spans="2:11" ht="45" x14ac:dyDescent="0.25">
      <c r="B27" s="961" t="s">
        <v>1999</v>
      </c>
      <c r="C27" s="962" t="s">
        <v>1993</v>
      </c>
      <c r="D27" s="962" t="s">
        <v>1994</v>
      </c>
      <c r="E27" s="962"/>
      <c r="F27" s="962" t="s">
        <v>1980</v>
      </c>
      <c r="G27" s="962" t="s">
        <v>1981</v>
      </c>
      <c r="H27" s="963" t="s">
        <v>1996</v>
      </c>
      <c r="I27" s="963" t="s">
        <v>1997</v>
      </c>
      <c r="K27" s="960"/>
    </row>
    <row r="28" spans="2:11" x14ac:dyDescent="0.25">
      <c r="B28" s="950" t="s">
        <v>2000</v>
      </c>
      <c r="C28" s="98">
        <v>50000000</v>
      </c>
      <c r="D28" s="61"/>
      <c r="E28" s="61"/>
      <c r="F28" s="61">
        <v>0</v>
      </c>
      <c r="G28" s="98">
        <f>C28-F28</f>
        <v>50000000</v>
      </c>
      <c r="H28" s="398">
        <f>F28/C28</f>
        <v>0</v>
      </c>
      <c r="I28" s="61"/>
    </row>
  </sheetData>
  <mergeCells count="4">
    <mergeCell ref="C1:G1"/>
    <mergeCell ref="C2:G2"/>
    <mergeCell ref="B10:I10"/>
    <mergeCell ref="C16:F1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6"/>
  <sheetViews>
    <sheetView topLeftCell="A112" zoomScale="80" zoomScaleNormal="80" workbookViewId="0">
      <selection activeCell="E51" sqref="E51"/>
    </sheetView>
  </sheetViews>
  <sheetFormatPr defaultColWidth="9.140625" defaultRowHeight="15" x14ac:dyDescent="0.25"/>
  <cols>
    <col min="1" max="1" width="2.42578125" customWidth="1"/>
    <col min="2" max="2" width="6.28515625" style="71" customWidth="1"/>
    <col min="3" max="3" width="42.42578125" customWidth="1"/>
    <col min="4" max="4" width="7.28515625" customWidth="1"/>
    <col min="5" max="6" width="17.42578125" customWidth="1"/>
    <col min="7" max="7" width="16.42578125" customWidth="1"/>
    <col min="8" max="8" width="17.42578125" style="112" customWidth="1"/>
    <col min="9" max="9" width="16.42578125" style="112" customWidth="1"/>
    <col min="10" max="10" width="12" customWidth="1"/>
    <col min="11" max="11" width="7.42578125" customWidth="1"/>
    <col min="12" max="12" width="9" customWidth="1"/>
    <col min="13" max="13" width="26.7109375" customWidth="1"/>
    <col min="14" max="14" width="15.42578125" customWidth="1"/>
    <col min="15" max="15" width="17.42578125" customWidth="1"/>
    <col min="16" max="16" width="10.42578125" customWidth="1"/>
    <col min="17" max="17" width="15.42578125" customWidth="1"/>
    <col min="18" max="18" width="7.5703125" customWidth="1"/>
    <col min="19" max="19" width="6.85546875" customWidth="1"/>
    <col min="20" max="20" width="3.42578125" style="55" customWidth="1"/>
    <col min="21" max="21" width="26.140625" style="55" customWidth="1"/>
    <col min="22" max="22" width="15.42578125" style="55" customWidth="1"/>
    <col min="23" max="23" width="15.140625" style="55" customWidth="1"/>
    <col min="24" max="24" width="10.140625" style="55" customWidth="1"/>
    <col min="25" max="25" width="15.42578125" style="55" customWidth="1"/>
    <col min="26" max="26" width="7.85546875" customWidth="1"/>
  </cols>
  <sheetData>
    <row r="1" spans="2:26" ht="18.75" customHeight="1" x14ac:dyDescent="0.3">
      <c r="J1" s="425" t="s">
        <v>2147</v>
      </c>
      <c r="K1" s="426"/>
    </row>
    <row r="2" spans="2:26" ht="18.75" customHeight="1" x14ac:dyDescent="0.3">
      <c r="B2" s="426" t="s">
        <v>706</v>
      </c>
      <c r="C2" s="427"/>
      <c r="D2" s="427"/>
      <c r="E2" s="1460">
        <f>376039587-100000000</f>
        <v>276039587</v>
      </c>
      <c r="F2" s="1460"/>
      <c r="G2" s="1461">
        <f>E2*7.6</f>
        <v>2097900861.1999998</v>
      </c>
      <c r="H2" s="1461"/>
      <c r="I2" s="428"/>
      <c r="J2" s="429"/>
    </row>
    <row r="3" spans="2:26" ht="15" customHeight="1" x14ac:dyDescent="0.25">
      <c r="L3" s="430"/>
      <c r="M3" s="431" t="s">
        <v>707</v>
      </c>
      <c r="T3" s="430"/>
      <c r="U3" s="431" t="s">
        <v>707</v>
      </c>
    </row>
    <row r="4" spans="2:26" s="55" customFormat="1" ht="32.25" customHeight="1" x14ac:dyDescent="0.25">
      <c r="B4" s="432"/>
      <c r="C4" s="433"/>
      <c r="D4" s="434" t="s">
        <v>708</v>
      </c>
      <c r="E4" s="434" t="s">
        <v>709</v>
      </c>
      <c r="F4" s="434" t="s">
        <v>710</v>
      </c>
      <c r="G4" s="434" t="s">
        <v>108</v>
      </c>
      <c r="H4" s="434" t="s">
        <v>711</v>
      </c>
      <c r="I4" s="435" t="s">
        <v>712</v>
      </c>
      <c r="J4" s="434" t="s">
        <v>713</v>
      </c>
      <c r="N4" s="434" t="s">
        <v>714</v>
      </c>
      <c r="O4" s="434" t="s">
        <v>715</v>
      </c>
      <c r="P4" s="434" t="s">
        <v>716</v>
      </c>
      <c r="Q4" s="434" t="s">
        <v>717</v>
      </c>
      <c r="R4" s="434" t="s">
        <v>718</v>
      </c>
      <c r="S4" s="436"/>
      <c r="V4" s="434" t="s">
        <v>714</v>
      </c>
      <c r="W4" s="434" t="s">
        <v>715</v>
      </c>
      <c r="X4" s="434" t="s">
        <v>716</v>
      </c>
      <c r="Y4" s="434" t="s">
        <v>717</v>
      </c>
    </row>
    <row r="5" spans="2:26" ht="15" customHeight="1" x14ac:dyDescent="0.25">
      <c r="B5"/>
      <c r="G5" s="335"/>
      <c r="H5" s="437"/>
      <c r="I5" s="437"/>
      <c r="J5" s="335"/>
      <c r="S5" s="438"/>
    </row>
    <row r="6" spans="2:26" s="55" customFormat="1" ht="30.75" customHeight="1" x14ac:dyDescent="0.25">
      <c r="B6" s="1453" t="s">
        <v>719</v>
      </c>
      <c r="C6" s="1454"/>
      <c r="D6" s="1454"/>
      <c r="E6" s="1454"/>
      <c r="F6" s="1454"/>
      <c r="G6" s="1454"/>
      <c r="H6" s="1454"/>
      <c r="I6" s="1454"/>
      <c r="J6" s="1455"/>
      <c r="L6" s="1453" t="s">
        <v>720</v>
      </c>
      <c r="M6" s="1454"/>
      <c r="N6" s="1454"/>
      <c r="O6" s="1454"/>
      <c r="P6" s="1454"/>
      <c r="Q6" s="1454"/>
      <c r="R6" s="1455"/>
      <c r="S6" s="436"/>
      <c r="T6" s="1453" t="s">
        <v>721</v>
      </c>
      <c r="U6" s="1454"/>
      <c r="V6" s="1454"/>
      <c r="W6" s="1454"/>
      <c r="X6" s="1454"/>
      <c r="Y6" s="1455"/>
    </row>
    <row r="7" spans="2:26" ht="15" customHeight="1" thickBot="1" x14ac:dyDescent="0.3">
      <c r="B7" s="439">
        <v>1</v>
      </c>
      <c r="C7" s="327" t="s">
        <v>722</v>
      </c>
      <c r="D7" s="327">
        <v>1</v>
      </c>
      <c r="E7" s="128">
        <f>266588926.19+104227981.2</f>
        <v>370816907.38999999</v>
      </c>
      <c r="F7" s="128">
        <f t="shared" ref="F7:F26" si="0">E7/7.6</f>
        <v>48791698.340789475</v>
      </c>
      <c r="G7" s="454">
        <f t="shared" ref="G7:G26" si="1">E7/$G$2</f>
        <v>0.17675616338604896</v>
      </c>
      <c r="H7" s="467">
        <f>31847079.96+1405798.27+555985+7687074.08+443861.78+2621090.73+805820.46+8374412.1</f>
        <v>53741122.380000003</v>
      </c>
      <c r="I7" s="468">
        <f t="shared" ref="I7:I25" si="2">H7/7.6</f>
        <v>7071200.3131578956</v>
      </c>
      <c r="J7" s="454">
        <f t="shared" ref="J7:J28" si="3">I7/F7</f>
        <v>0.14492630003916931</v>
      </c>
      <c r="K7" s="442"/>
      <c r="L7" s="443">
        <v>1</v>
      </c>
      <c r="M7" s="444" t="s">
        <v>723</v>
      </c>
      <c r="N7" s="445">
        <v>2032122.62</v>
      </c>
      <c r="O7" s="446">
        <v>1848586.65</v>
      </c>
      <c r="P7" s="447">
        <f t="shared" ref="P7:P70" si="4">O7/N7</f>
        <v>0.90968263027356089</v>
      </c>
      <c r="Q7" s="445">
        <v>2174807.8199999998</v>
      </c>
      <c r="R7" s="448" t="s">
        <v>724</v>
      </c>
      <c r="S7" s="436"/>
      <c r="T7" s="449">
        <v>1</v>
      </c>
      <c r="U7" s="430" t="s">
        <v>725</v>
      </c>
      <c r="V7" s="450">
        <v>365299.87</v>
      </c>
      <c r="W7" s="451">
        <v>294059.44</v>
      </c>
      <c r="X7" s="452">
        <f t="shared" ref="X7:X92" si="5">W7/V7</f>
        <v>0.80498095988920004</v>
      </c>
      <c r="Y7" s="450">
        <v>345952.29</v>
      </c>
    </row>
    <row r="8" spans="2:26" ht="15" customHeight="1" x14ac:dyDescent="0.25">
      <c r="B8" s="439">
        <f t="shared" ref="B8:B27" si="6">1+B7</f>
        <v>2</v>
      </c>
      <c r="C8" s="327" t="s">
        <v>726</v>
      </c>
      <c r="D8" s="327">
        <v>1</v>
      </c>
      <c r="E8" s="128">
        <v>111586450.64</v>
      </c>
      <c r="F8" s="128">
        <f t="shared" si="0"/>
        <v>14682427.715789475</v>
      </c>
      <c r="G8" s="454">
        <f t="shared" si="1"/>
        <v>5.3189572826702843E-2</v>
      </c>
      <c r="H8" s="467">
        <f>13145568.23+72216.33+1738409.05+69589.62+72216.33+1071114.62+1662299.68+3621816.41+4052148.31+4692861.42+4161639.54+4119533.56+4538071.39</f>
        <v>43017484.490000002</v>
      </c>
      <c r="I8" s="468">
        <f t="shared" si="2"/>
        <v>5660195.3276315797</v>
      </c>
      <c r="J8" s="454">
        <f t="shared" si="3"/>
        <v>0.38550813511205706</v>
      </c>
      <c r="K8" s="442"/>
      <c r="L8" s="457">
        <v>2</v>
      </c>
      <c r="M8" s="458" t="s">
        <v>727</v>
      </c>
      <c r="N8" s="459">
        <v>3872723.79</v>
      </c>
      <c r="O8" s="460">
        <v>3026446.3699999996</v>
      </c>
      <c r="P8" s="461">
        <f t="shared" si="4"/>
        <v>0.78147746498595494</v>
      </c>
      <c r="Q8" s="459">
        <v>3560525.15</v>
      </c>
      <c r="R8" s="462" t="s">
        <v>724</v>
      </c>
      <c r="S8" s="436"/>
      <c r="T8" s="449">
        <v>2</v>
      </c>
      <c r="U8" s="430" t="s">
        <v>728</v>
      </c>
      <c r="V8" s="450">
        <v>285143.44</v>
      </c>
      <c r="W8" s="451">
        <v>247988.93</v>
      </c>
      <c r="X8" s="452">
        <f t="shared" si="5"/>
        <v>0.86969887857143058</v>
      </c>
      <c r="Y8" s="450">
        <v>291751.7</v>
      </c>
    </row>
    <row r="9" spans="2:26" ht="15" customHeight="1" x14ac:dyDescent="0.25">
      <c r="B9" s="439">
        <f t="shared" si="6"/>
        <v>3</v>
      </c>
      <c r="C9" s="463" t="s">
        <v>729</v>
      </c>
      <c r="D9" s="464">
        <v>142</v>
      </c>
      <c r="E9" s="128">
        <f>N149</f>
        <v>368907725.65000004</v>
      </c>
      <c r="F9" s="128">
        <f t="shared" si="0"/>
        <v>48540490.217105269</v>
      </c>
      <c r="G9" s="454">
        <f t="shared" si="1"/>
        <v>0.17584611955351634</v>
      </c>
      <c r="H9" s="465">
        <f>O149</f>
        <v>323461267.65999997</v>
      </c>
      <c r="I9" s="455">
        <f t="shared" si="2"/>
        <v>42560693.113157891</v>
      </c>
      <c r="J9" s="456">
        <f t="shared" si="3"/>
        <v>0.87680806112172005</v>
      </c>
      <c r="K9" s="442"/>
      <c r="L9" s="449">
        <v>3</v>
      </c>
      <c r="M9" s="430" t="s">
        <v>730</v>
      </c>
      <c r="N9" s="450">
        <v>1722632.95</v>
      </c>
      <c r="O9" s="451">
        <v>1649146.6400000001</v>
      </c>
      <c r="P9" s="452">
        <f t="shared" si="4"/>
        <v>0.95734070336922339</v>
      </c>
      <c r="Q9" s="450">
        <v>1940172.5200000003</v>
      </c>
      <c r="R9" s="466" t="s">
        <v>724</v>
      </c>
      <c r="S9" s="436"/>
      <c r="T9" s="449">
        <v>3</v>
      </c>
      <c r="U9" s="430" t="s">
        <v>731</v>
      </c>
      <c r="V9" s="450">
        <v>358507.27</v>
      </c>
      <c r="W9" s="451">
        <v>349587.56</v>
      </c>
      <c r="X9" s="452">
        <f t="shared" si="5"/>
        <v>0.97511986298074227</v>
      </c>
      <c r="Y9" s="450">
        <v>411279.5</v>
      </c>
    </row>
    <row r="10" spans="2:26" ht="15" customHeight="1" x14ac:dyDescent="0.25">
      <c r="B10" s="439">
        <f t="shared" si="6"/>
        <v>4</v>
      </c>
      <c r="C10" s="453" t="s">
        <v>732</v>
      </c>
      <c r="D10" s="327">
        <v>23</v>
      </c>
      <c r="E10" s="128">
        <f>E101</f>
        <v>222329925.35000002</v>
      </c>
      <c r="F10" s="128">
        <f t="shared" si="0"/>
        <v>29253937.546052635</v>
      </c>
      <c r="G10" s="454">
        <f t="shared" si="1"/>
        <v>0.10597732688990234</v>
      </c>
      <c r="H10" s="980">
        <f>F101</f>
        <v>143154304.19999999</v>
      </c>
      <c r="I10" s="455">
        <f t="shared" si="2"/>
        <v>18836092.657894734</v>
      </c>
      <c r="J10" s="456">
        <f t="shared" si="3"/>
        <v>0.64388230227955667</v>
      </c>
      <c r="L10" s="449">
        <v>4</v>
      </c>
      <c r="M10" s="430" t="s">
        <v>733</v>
      </c>
      <c r="N10" s="450">
        <v>1677305</v>
      </c>
      <c r="O10" s="451">
        <v>1456935.04</v>
      </c>
      <c r="P10" s="452">
        <f t="shared" si="4"/>
        <v>0.86861664396159322</v>
      </c>
      <c r="Q10" s="450">
        <v>1714044.22</v>
      </c>
      <c r="R10" s="466" t="s">
        <v>724</v>
      </c>
      <c r="S10" s="436"/>
      <c r="T10" s="449">
        <v>4</v>
      </c>
      <c r="U10" s="430" t="s">
        <v>734</v>
      </c>
      <c r="V10" s="450">
        <v>405523.15</v>
      </c>
      <c r="W10" s="450">
        <v>321194.64</v>
      </c>
      <c r="X10" s="452">
        <f t="shared" si="5"/>
        <v>0.79205007161736629</v>
      </c>
      <c r="Y10" s="450">
        <v>377876.05</v>
      </c>
    </row>
    <row r="11" spans="2:26" ht="15" customHeight="1" x14ac:dyDescent="0.25">
      <c r="B11" s="439">
        <f t="shared" si="6"/>
        <v>5</v>
      </c>
      <c r="C11" s="327" t="s">
        <v>735</v>
      </c>
      <c r="D11" s="327">
        <v>1</v>
      </c>
      <c r="E11" s="128">
        <v>4256970</v>
      </c>
      <c r="F11" s="128">
        <f t="shared" si="0"/>
        <v>560127.63157894742</v>
      </c>
      <c r="G11" s="454">
        <f t="shared" si="1"/>
        <v>2.0291568961771683E-3</v>
      </c>
      <c r="H11" s="128">
        <f>907090.03+2020877.94+1190768</f>
        <v>4118735.9699999997</v>
      </c>
      <c r="I11" s="468">
        <f t="shared" si="2"/>
        <v>541938.94342105265</v>
      </c>
      <c r="J11" s="454">
        <f t="shared" si="3"/>
        <v>0.96752760061734044</v>
      </c>
      <c r="L11" s="449">
        <v>5</v>
      </c>
      <c r="M11" s="430" t="s">
        <v>736</v>
      </c>
      <c r="N11" s="450">
        <v>4212682.24</v>
      </c>
      <c r="O11" s="451">
        <v>3797707.69</v>
      </c>
      <c r="P11" s="452">
        <f t="shared" si="4"/>
        <v>0.9014939826080971</v>
      </c>
      <c r="Q11" s="450">
        <v>4467891.41</v>
      </c>
      <c r="R11" s="466" t="s">
        <v>724</v>
      </c>
      <c r="S11" s="436"/>
      <c r="T11" s="449">
        <v>5</v>
      </c>
      <c r="U11" s="430" t="s">
        <v>737</v>
      </c>
      <c r="V11" s="450">
        <v>327723.45</v>
      </c>
      <c r="W11" s="450">
        <v>291717.23</v>
      </c>
      <c r="X11" s="452">
        <f t="shared" si="5"/>
        <v>0.89013230514935682</v>
      </c>
      <c r="Y11" s="450">
        <v>343196.75</v>
      </c>
    </row>
    <row r="12" spans="2:26" ht="15" customHeight="1" x14ac:dyDescent="0.25">
      <c r="B12" s="439">
        <f t="shared" si="6"/>
        <v>6</v>
      </c>
      <c r="C12" s="327" t="s">
        <v>738</v>
      </c>
      <c r="D12" s="327">
        <v>1</v>
      </c>
      <c r="E12" s="128">
        <v>320593075.06</v>
      </c>
      <c r="F12" s="128">
        <f t="shared" si="0"/>
        <v>42183299.350000001</v>
      </c>
      <c r="G12" s="454">
        <f t="shared" si="1"/>
        <v>0.1528161225295559</v>
      </c>
      <c r="H12" s="128">
        <f>178958.13+28970.66+63274.54+100015.82+30486.57</f>
        <v>401705.72000000003</v>
      </c>
      <c r="I12" s="468">
        <f t="shared" si="2"/>
        <v>52856.015789473691</v>
      </c>
      <c r="J12" s="454">
        <f t="shared" si="3"/>
        <v>1.2530081004551317E-3</v>
      </c>
      <c r="L12" s="449">
        <v>6</v>
      </c>
      <c r="M12" s="430" t="s">
        <v>739</v>
      </c>
      <c r="N12" s="450">
        <v>2666550</v>
      </c>
      <c r="O12" s="451">
        <v>2387133.12</v>
      </c>
      <c r="P12" s="452">
        <f t="shared" si="4"/>
        <v>0.89521408561624571</v>
      </c>
      <c r="Q12" s="450">
        <v>2808392.18</v>
      </c>
      <c r="R12" s="466" t="s">
        <v>724</v>
      </c>
      <c r="S12" s="436"/>
      <c r="T12" s="449">
        <v>6</v>
      </c>
      <c r="U12" s="430" t="s">
        <v>740</v>
      </c>
      <c r="V12" s="450">
        <v>375323.24</v>
      </c>
      <c r="W12" s="450">
        <v>293780.07</v>
      </c>
      <c r="X12" s="452">
        <f t="shared" si="5"/>
        <v>0.78273882001018646</v>
      </c>
      <c r="Y12" s="450">
        <v>345623.75</v>
      </c>
    </row>
    <row r="13" spans="2:26" ht="15" customHeight="1" x14ac:dyDescent="0.25">
      <c r="B13" s="439">
        <f t="shared" si="6"/>
        <v>7</v>
      </c>
      <c r="C13" s="1195" t="s">
        <v>741</v>
      </c>
      <c r="D13" s="1195">
        <v>91</v>
      </c>
      <c r="E13" s="128">
        <f>V98</f>
        <v>53636558.840000011</v>
      </c>
      <c r="F13" s="128">
        <f t="shared" si="0"/>
        <v>7057441.9526315806</v>
      </c>
      <c r="G13" s="454">
        <f t="shared" si="1"/>
        <v>2.556677478521072E-2</v>
      </c>
      <c r="H13" s="128">
        <f>W98</f>
        <v>37831482.45000001</v>
      </c>
      <c r="I13" s="468">
        <f t="shared" si="2"/>
        <v>4977826.6381578967</v>
      </c>
      <c r="J13" s="454">
        <f t="shared" si="3"/>
        <v>0.70533015667266852</v>
      </c>
      <c r="L13" s="449">
        <v>7</v>
      </c>
      <c r="M13" s="430" t="s">
        <v>742</v>
      </c>
      <c r="N13" s="450">
        <v>1899922.57</v>
      </c>
      <c r="O13" s="451">
        <v>1713946.2699999998</v>
      </c>
      <c r="P13" s="452">
        <f t="shared" si="4"/>
        <v>0.9021137477197293</v>
      </c>
      <c r="Q13" s="450">
        <v>2016407.3900000001</v>
      </c>
      <c r="R13" s="466" t="s">
        <v>724</v>
      </c>
      <c r="S13" s="436"/>
      <c r="T13" s="449">
        <v>7</v>
      </c>
      <c r="U13" s="430" t="s">
        <v>743</v>
      </c>
      <c r="V13" s="450">
        <v>415176.04</v>
      </c>
      <c r="W13" s="450">
        <v>293501.7</v>
      </c>
      <c r="X13" s="452">
        <f t="shared" si="5"/>
        <v>0.70693313612220976</v>
      </c>
      <c r="Y13" s="450">
        <v>345296.12</v>
      </c>
    </row>
    <row r="14" spans="2:26" ht="15" customHeight="1" thickBot="1" x14ac:dyDescent="0.3">
      <c r="B14" s="439">
        <f t="shared" si="6"/>
        <v>8</v>
      </c>
      <c r="C14" s="327" t="s">
        <v>744</v>
      </c>
      <c r="D14" s="327">
        <v>3</v>
      </c>
      <c r="E14" s="128">
        <f>12750000*2+25499999.99</f>
        <v>50999999.989999995</v>
      </c>
      <c r="F14" s="128">
        <f t="shared" si="0"/>
        <v>6710526.3144736839</v>
      </c>
      <c r="G14" s="454">
        <f t="shared" si="1"/>
        <v>2.4310014325857124E-2</v>
      </c>
      <c r="H14" s="128">
        <f>F71</f>
        <v>10719178.029999999</v>
      </c>
      <c r="I14" s="468">
        <f t="shared" si="2"/>
        <v>1410418.1618421052</v>
      </c>
      <c r="J14" s="454">
        <f t="shared" si="3"/>
        <v>0.21017996141376077</v>
      </c>
      <c r="L14" s="449">
        <v>8</v>
      </c>
      <c r="M14" s="430" t="s">
        <v>745</v>
      </c>
      <c r="N14" s="450">
        <v>3002962.2</v>
      </c>
      <c r="O14" s="450">
        <v>2222601.88</v>
      </c>
      <c r="P14" s="452">
        <f t="shared" si="4"/>
        <v>0.74013648257044318</v>
      </c>
      <c r="Q14" s="450">
        <v>2614825.79</v>
      </c>
      <c r="R14" s="466" t="s">
        <v>724</v>
      </c>
      <c r="S14" s="436"/>
      <c r="T14" s="443">
        <v>8</v>
      </c>
      <c r="U14" s="469" t="s">
        <v>746</v>
      </c>
      <c r="V14" s="445">
        <v>392646.04</v>
      </c>
      <c r="W14" s="445">
        <v>268351.15999999997</v>
      </c>
      <c r="X14" s="447">
        <f t="shared" si="5"/>
        <v>0.68344292992232902</v>
      </c>
      <c r="Y14" s="445">
        <v>315707.25</v>
      </c>
    </row>
    <row r="15" spans="2:26" ht="15" customHeight="1" x14ac:dyDescent="0.25">
      <c r="B15" s="439">
        <f t="shared" si="6"/>
        <v>9</v>
      </c>
      <c r="C15" s="327" t="s">
        <v>747</v>
      </c>
      <c r="D15" s="327">
        <v>1</v>
      </c>
      <c r="E15" s="128">
        <v>315037031.76999998</v>
      </c>
      <c r="F15" s="128">
        <f t="shared" si="0"/>
        <v>41452241.022368424</v>
      </c>
      <c r="G15" s="454">
        <f t="shared" si="1"/>
        <v>0.15016774033344871</v>
      </c>
      <c r="H15" s="128">
        <f>2301566.24+3187277.81+18085187.34+13694412.4+11112190.51+50254823.54+13899036.17+34649860.67</f>
        <v>147184354.68000001</v>
      </c>
      <c r="I15" s="468">
        <f t="shared" si="2"/>
        <v>19366362.457894739</v>
      </c>
      <c r="J15" s="454">
        <f t="shared" si="3"/>
        <v>0.46719699539149834</v>
      </c>
      <c r="L15" s="449">
        <v>9</v>
      </c>
      <c r="M15" s="430" t="s">
        <v>748</v>
      </c>
      <c r="N15" s="450">
        <v>2869459.75</v>
      </c>
      <c r="O15" s="451">
        <v>1742331.0899999999</v>
      </c>
      <c r="P15" s="452">
        <f t="shared" si="4"/>
        <v>0.60719830274671038</v>
      </c>
      <c r="Q15" s="450">
        <v>2049801.2799999998</v>
      </c>
      <c r="R15" s="466" t="s">
        <v>724</v>
      </c>
      <c r="S15" s="436"/>
      <c r="T15" s="457">
        <v>9</v>
      </c>
      <c r="U15" s="470" t="s">
        <v>749</v>
      </c>
      <c r="V15" s="459">
        <v>259164.35</v>
      </c>
      <c r="W15" s="459">
        <v>231565.57</v>
      </c>
      <c r="X15" s="461">
        <f t="shared" si="5"/>
        <v>0.8935085786297382</v>
      </c>
      <c r="Y15" s="459">
        <v>272430.09999999998</v>
      </c>
    </row>
    <row r="16" spans="2:26" ht="15" customHeight="1" x14ac:dyDescent="0.25">
      <c r="B16" s="439">
        <f t="shared" si="6"/>
        <v>10</v>
      </c>
      <c r="C16" s="1239" t="s">
        <v>750</v>
      </c>
      <c r="D16" s="1239">
        <v>1</v>
      </c>
      <c r="E16" s="128">
        <v>322498130.89999998</v>
      </c>
      <c r="F16" s="128">
        <f t="shared" si="0"/>
        <v>42433964.592105262</v>
      </c>
      <c r="G16" s="454">
        <f t="shared" si="1"/>
        <v>0.15372419968192919</v>
      </c>
      <c r="H16" s="128">
        <f>178447.64+77474.88+6472.06+59551.59+42301.39+38200.36+22505.28+76247.25</f>
        <v>501200.45000000007</v>
      </c>
      <c r="I16" s="468">
        <f t="shared" si="2"/>
        <v>65947.427631578961</v>
      </c>
      <c r="J16" s="454">
        <f t="shared" si="3"/>
        <v>1.5541189296238496E-3</v>
      </c>
      <c r="L16" s="449">
        <v>10</v>
      </c>
      <c r="M16" s="471" t="s">
        <v>751</v>
      </c>
      <c r="N16" s="472">
        <v>2267357.15</v>
      </c>
      <c r="O16" s="450">
        <v>2225764.1</v>
      </c>
      <c r="P16" s="452">
        <f t="shared" si="4"/>
        <v>0.9816557131283884</v>
      </c>
      <c r="Q16" s="450">
        <v>2618546</v>
      </c>
      <c r="R16" s="466" t="s">
        <v>724</v>
      </c>
      <c r="S16" s="436"/>
      <c r="T16" s="449">
        <v>10</v>
      </c>
      <c r="U16" s="430" t="s">
        <v>752</v>
      </c>
      <c r="V16" s="450">
        <v>373743.15</v>
      </c>
      <c r="W16" s="450">
        <f>114297.52+182942.02</f>
        <v>297239.53999999998</v>
      </c>
      <c r="X16" s="452">
        <f t="shared" si="5"/>
        <v>0.79530431527641365</v>
      </c>
      <c r="Y16" s="450">
        <f>134467.69+215225.92</f>
        <v>349693.61</v>
      </c>
      <c r="Z16" s="473"/>
    </row>
    <row r="17" spans="2:26" ht="15" customHeight="1" x14ac:dyDescent="0.25">
      <c r="B17" s="439">
        <f t="shared" si="6"/>
        <v>11</v>
      </c>
      <c r="C17" s="453" t="s">
        <v>753</v>
      </c>
      <c r="D17" s="327">
        <v>1</v>
      </c>
      <c r="E17" s="128">
        <v>195672384.43000001</v>
      </c>
      <c r="F17" s="128">
        <f t="shared" si="0"/>
        <v>25746366.372368421</v>
      </c>
      <c r="G17" s="454">
        <f t="shared" si="1"/>
        <v>9.3270558227463315E-2</v>
      </c>
      <c r="H17" s="465">
        <f>1997929.41+45120.18+46702+45456.07+46632.79+46795.92+70482.77+209103.88+48036.79+81700.91+46132.55+46873.06+46913.49+46975.83+46975.86</f>
        <v>2871831.51</v>
      </c>
      <c r="I17" s="455">
        <f t="shared" si="2"/>
        <v>377872.56710526312</v>
      </c>
      <c r="J17" s="456">
        <f t="shared" si="3"/>
        <v>1.4676733859843012E-2</v>
      </c>
      <c r="L17" s="449">
        <v>11</v>
      </c>
      <c r="M17" s="474" t="s">
        <v>754</v>
      </c>
      <c r="N17" s="450">
        <v>2149172.77</v>
      </c>
      <c r="O17" s="450">
        <v>2043250.9900000002</v>
      </c>
      <c r="P17" s="452">
        <f t="shared" si="4"/>
        <v>0.95071509304484636</v>
      </c>
      <c r="Q17" s="450">
        <v>2403824.7000000002</v>
      </c>
      <c r="R17" s="466" t="s">
        <v>724</v>
      </c>
      <c r="S17" s="436"/>
      <c r="T17" s="449">
        <v>11</v>
      </c>
      <c r="U17" s="430" t="s">
        <v>755</v>
      </c>
      <c r="V17" s="450">
        <v>374938.18</v>
      </c>
      <c r="W17" s="450">
        <f>371623.18+3315</f>
        <v>374938.18</v>
      </c>
      <c r="X17" s="452">
        <f t="shared" si="5"/>
        <v>1</v>
      </c>
      <c r="Y17" s="450">
        <f>437203.75+3900</f>
        <v>441103.75</v>
      </c>
      <c r="Z17" s="473"/>
    </row>
    <row r="18" spans="2:26" s="112" customFormat="1" ht="15" customHeight="1" x14ac:dyDescent="0.25">
      <c r="B18" s="439">
        <f t="shared" si="6"/>
        <v>12</v>
      </c>
      <c r="C18" s="327" t="s">
        <v>756</v>
      </c>
      <c r="D18" s="327">
        <v>9</v>
      </c>
      <c r="E18" s="128">
        <f>'[5]SC 6i1_2'!Z16</f>
        <v>157044885.20999998</v>
      </c>
      <c r="F18" s="128">
        <f t="shared" si="0"/>
        <v>20663800.685526315</v>
      </c>
      <c r="G18" s="454">
        <f t="shared" si="1"/>
        <v>7.4858106078554282E-2</v>
      </c>
      <c r="H18" s="128">
        <f>'[6]SC 6i1_2'!AA16</f>
        <v>581130.56000000006</v>
      </c>
      <c r="I18" s="468">
        <f t="shared" si="2"/>
        <v>76464.547368421059</v>
      </c>
      <c r="J18" s="454">
        <f t="shared" si="3"/>
        <v>3.7004106133282457E-3</v>
      </c>
      <c r="L18" s="449">
        <v>12</v>
      </c>
      <c r="M18" s="430" t="s">
        <v>757</v>
      </c>
      <c r="N18" s="450">
        <v>3808057.91</v>
      </c>
      <c r="O18" s="451">
        <v>3515268.48</v>
      </c>
      <c r="P18" s="452">
        <f t="shared" si="4"/>
        <v>0.92311318868572556</v>
      </c>
      <c r="Q18" s="450">
        <v>4135609.98</v>
      </c>
      <c r="R18" s="466" t="s">
        <v>724</v>
      </c>
      <c r="S18" s="432"/>
      <c r="T18" s="449">
        <v>12</v>
      </c>
      <c r="U18" s="430" t="s">
        <v>758</v>
      </c>
      <c r="V18" s="450">
        <v>437567.23</v>
      </c>
      <c r="W18" s="450">
        <f>96178.66+124331.5</f>
        <v>220510.16</v>
      </c>
      <c r="X18" s="452">
        <f t="shared" si="5"/>
        <v>0.50394578222871034</v>
      </c>
      <c r="Y18" s="450">
        <f>113151.37+146272.37</f>
        <v>259423.74</v>
      </c>
      <c r="Z18" s="475"/>
    </row>
    <row r="19" spans="2:26" s="476" customFormat="1" ht="15" customHeight="1" x14ac:dyDescent="0.25">
      <c r="B19" s="439">
        <f t="shared" si="6"/>
        <v>13</v>
      </c>
      <c r="C19" s="327" t="s">
        <v>759</v>
      </c>
      <c r="D19" s="327">
        <v>8</v>
      </c>
      <c r="E19" s="128">
        <f>E112</f>
        <v>152811953.49000001</v>
      </c>
      <c r="F19" s="128">
        <f t="shared" si="0"/>
        <v>20106835.98552632</v>
      </c>
      <c r="G19" s="454">
        <f t="shared" si="1"/>
        <v>7.2840407435931717E-2</v>
      </c>
      <c r="H19" s="128">
        <f>F112</f>
        <v>446491.95</v>
      </c>
      <c r="I19" s="468">
        <f t="shared" si="2"/>
        <v>58748.940789473687</v>
      </c>
      <c r="J19" s="454">
        <f t="shared" si="3"/>
        <v>2.9218391611571036E-3</v>
      </c>
      <c r="L19" s="449">
        <v>13</v>
      </c>
      <c r="M19" s="430" t="s">
        <v>760</v>
      </c>
      <c r="N19" s="450">
        <v>1341674</v>
      </c>
      <c r="O19" s="451">
        <v>1001511.1900000001</v>
      </c>
      <c r="P19" s="452">
        <f t="shared" si="4"/>
        <v>0.74646388765080052</v>
      </c>
      <c r="Q19" s="450">
        <v>1178248.57</v>
      </c>
      <c r="R19" s="466" t="s">
        <v>724</v>
      </c>
      <c r="S19" s="432"/>
      <c r="T19" s="449">
        <v>13</v>
      </c>
      <c r="U19" s="430" t="s">
        <v>761</v>
      </c>
      <c r="V19" s="450">
        <v>386116.21</v>
      </c>
      <c r="W19" s="450">
        <f>221626.86+26012.12</f>
        <v>247638.97999999998</v>
      </c>
      <c r="X19" s="452">
        <f t="shared" si="5"/>
        <v>0.64135867282028891</v>
      </c>
      <c r="Y19" s="450">
        <f>260737.5+30602.5</f>
        <v>291340</v>
      </c>
      <c r="Z19" s="475"/>
    </row>
    <row r="20" spans="2:26" ht="15" customHeight="1" x14ac:dyDescent="0.25">
      <c r="B20" s="439">
        <f t="shared" si="6"/>
        <v>14</v>
      </c>
      <c r="C20" s="327" t="s">
        <v>762</v>
      </c>
      <c r="D20" s="327">
        <v>1</v>
      </c>
      <c r="E20" s="98">
        <v>286809158.73000002</v>
      </c>
      <c r="F20" s="128">
        <f t="shared" si="0"/>
        <v>37738047.20131579</v>
      </c>
      <c r="G20" s="454">
        <f t="shared" si="1"/>
        <v>0.13671244625255796</v>
      </c>
      <c r="H20" s="128">
        <f>2131984.01+681202.73+153071.45</f>
        <v>2966258.19</v>
      </c>
      <c r="I20" s="468">
        <f t="shared" si="2"/>
        <v>390297.13026315789</v>
      </c>
      <c r="J20" s="454">
        <f t="shared" si="3"/>
        <v>1.0342271506024021E-2</v>
      </c>
      <c r="L20" s="449">
        <v>14</v>
      </c>
      <c r="M20" s="430" t="s">
        <v>763</v>
      </c>
      <c r="N20" s="450">
        <v>1993754.78</v>
      </c>
      <c r="O20" s="451">
        <v>1973951.41</v>
      </c>
      <c r="P20" s="452">
        <f t="shared" si="4"/>
        <v>0.9900672990486824</v>
      </c>
      <c r="Q20" s="450">
        <v>2322295.79</v>
      </c>
      <c r="R20" s="466" t="s">
        <v>724</v>
      </c>
      <c r="S20" s="473"/>
      <c r="T20" s="449">
        <v>14</v>
      </c>
      <c r="U20" s="430" t="s">
        <v>764</v>
      </c>
      <c r="V20" s="450">
        <v>488682</v>
      </c>
      <c r="W20" s="450">
        <f>140496.28+338429.63</f>
        <v>478925.91000000003</v>
      </c>
      <c r="X20" s="452">
        <f t="shared" si="5"/>
        <v>0.98003591292496972</v>
      </c>
      <c r="Y20" s="450">
        <f>165289.75+398152.5</f>
        <v>563442.25</v>
      </c>
      <c r="Z20" s="477"/>
    </row>
    <row r="21" spans="2:26" s="478" customFormat="1" ht="15" customHeight="1" x14ac:dyDescent="0.25">
      <c r="B21" s="439">
        <f t="shared" si="6"/>
        <v>15</v>
      </c>
      <c r="C21" s="479" t="s">
        <v>765</v>
      </c>
      <c r="D21" s="1239">
        <v>7</v>
      </c>
      <c r="E21" s="128">
        <f>'[5]SC 6i1_2'!Z44</f>
        <v>76544666.75999999</v>
      </c>
      <c r="F21" s="128">
        <f t="shared" si="0"/>
        <v>10071666.678947367</v>
      </c>
      <c r="G21" s="454">
        <f t="shared" si="1"/>
        <v>3.6486312664086723E-2</v>
      </c>
      <c r="H21" s="465">
        <v>1805608.61</v>
      </c>
      <c r="I21" s="455">
        <f t="shared" si="2"/>
        <v>237580.08026315793</v>
      </c>
      <c r="J21" s="456">
        <f t="shared" si="3"/>
        <v>2.3588953828244486E-2</v>
      </c>
      <c r="K21"/>
      <c r="L21" s="449">
        <v>15</v>
      </c>
      <c r="M21" s="430" t="s">
        <v>766</v>
      </c>
      <c r="N21" s="450">
        <v>1613778.12</v>
      </c>
      <c r="O21" s="451">
        <v>1573130.32</v>
      </c>
      <c r="P21" s="452">
        <f t="shared" si="4"/>
        <v>0.97481202682311741</v>
      </c>
      <c r="Q21" s="450">
        <v>1850741.5599999998</v>
      </c>
      <c r="R21" s="466" t="s">
        <v>724</v>
      </c>
      <c r="S21" s="473"/>
      <c r="T21" s="449">
        <v>15</v>
      </c>
      <c r="U21" s="430" t="s">
        <v>767</v>
      </c>
      <c r="V21" s="450">
        <v>437643.75</v>
      </c>
      <c r="W21" s="450">
        <f>94468.6+289271.45+27908.18</f>
        <v>411648.23000000004</v>
      </c>
      <c r="X21" s="452">
        <f t="shared" si="5"/>
        <v>0.94060118532482195</v>
      </c>
      <c r="Y21" s="450">
        <f>111139.53+340319.36+32833.15</f>
        <v>484292.04000000004</v>
      </c>
      <c r="Z21" s="473"/>
    </row>
    <row r="22" spans="2:26" ht="15" customHeight="1" x14ac:dyDescent="0.25">
      <c r="B22" s="439">
        <f t="shared" si="6"/>
        <v>16</v>
      </c>
      <c r="C22" s="479" t="s">
        <v>768</v>
      </c>
      <c r="D22" s="1239">
        <v>50</v>
      </c>
      <c r="E22" s="128">
        <f>'[5]SC 6i1_2'!K57</f>
        <v>63061243.840000011</v>
      </c>
      <c r="F22" s="128">
        <f t="shared" si="0"/>
        <v>8297532.0842105281</v>
      </c>
      <c r="G22" s="454">
        <f t="shared" si="1"/>
        <v>3.0059210616811018E-2</v>
      </c>
      <c r="H22" s="465">
        <v>1394750.66</v>
      </c>
      <c r="I22" s="455">
        <f t="shared" si="2"/>
        <v>183519.82368421051</v>
      </c>
      <c r="J22" s="456">
        <f t="shared" si="3"/>
        <v>2.2117398501348678E-2</v>
      </c>
      <c r="L22" s="457">
        <v>16</v>
      </c>
      <c r="M22" s="430" t="s">
        <v>769</v>
      </c>
      <c r="N22" s="450">
        <v>2568780.73</v>
      </c>
      <c r="O22" s="451">
        <v>2120031.21</v>
      </c>
      <c r="P22" s="452">
        <f t="shared" si="4"/>
        <v>0.82530641297671214</v>
      </c>
      <c r="Q22" s="450">
        <v>2494154.37</v>
      </c>
      <c r="R22" s="466" t="s">
        <v>724</v>
      </c>
      <c r="S22" s="55"/>
      <c r="T22" s="449">
        <v>16</v>
      </c>
      <c r="U22" s="430" t="s">
        <v>770</v>
      </c>
      <c r="V22" s="450">
        <v>496127.8</v>
      </c>
      <c r="W22" s="450">
        <f>277173.59+198426.15</f>
        <v>475599.74</v>
      </c>
      <c r="X22" s="452">
        <f t="shared" si="5"/>
        <v>0.95862344339502847</v>
      </c>
      <c r="Y22" s="450">
        <f>326585.9+233800</f>
        <v>560385.9</v>
      </c>
      <c r="Z22" s="480"/>
    </row>
    <row r="23" spans="2:26" ht="15" customHeight="1" x14ac:dyDescent="0.25">
      <c r="B23" s="439">
        <f t="shared" si="6"/>
        <v>17</v>
      </c>
      <c r="C23" s="1239" t="s">
        <v>771</v>
      </c>
      <c r="D23" s="1239">
        <v>31</v>
      </c>
      <c r="E23" s="128">
        <f>'[7]SC 6i1_2'!S37</f>
        <v>140563100.77000001</v>
      </c>
      <c r="F23" s="128">
        <f t="shared" si="0"/>
        <v>18495144.838157896</v>
      </c>
      <c r="G23" s="454">
        <f t="shared" si="1"/>
        <v>6.7001784197561115E-2</v>
      </c>
      <c r="H23" s="128">
        <f>'[5]SC 6i1_2'!T37</f>
        <v>19231900.220000003</v>
      </c>
      <c r="I23" s="468">
        <f t="shared" si="2"/>
        <v>2530513.1868421058</v>
      </c>
      <c r="J23" s="454">
        <f t="shared" si="3"/>
        <v>0.13682040389439543</v>
      </c>
      <c r="L23" s="449">
        <v>17</v>
      </c>
      <c r="M23" s="481" t="s">
        <v>772</v>
      </c>
      <c r="N23" s="450">
        <v>4353405.34</v>
      </c>
      <c r="O23" s="451">
        <v>3594115.61</v>
      </c>
      <c r="P23" s="452">
        <f t="shared" si="4"/>
        <v>0.82558717355733291</v>
      </c>
      <c r="Q23" s="450">
        <v>4228371.32</v>
      </c>
      <c r="R23" s="466" t="s">
        <v>724</v>
      </c>
      <c r="S23" s="55"/>
      <c r="T23" s="449">
        <v>17</v>
      </c>
      <c r="U23" s="430" t="s">
        <v>773</v>
      </c>
      <c r="V23" s="450">
        <v>461104.6</v>
      </c>
      <c r="W23" s="450">
        <f>362694.38+91091.66</f>
        <v>453786.04000000004</v>
      </c>
      <c r="X23" s="452">
        <f t="shared" si="5"/>
        <v>0.98412819997892031</v>
      </c>
      <c r="Y23" s="450">
        <f>426699.29+107166.66</f>
        <v>533865.94999999995</v>
      </c>
      <c r="Z23" s="473"/>
    </row>
    <row r="24" spans="2:26" ht="15" customHeight="1" x14ac:dyDescent="0.25">
      <c r="B24" s="439">
        <f t="shared" si="6"/>
        <v>18</v>
      </c>
      <c r="C24" s="1239" t="s">
        <v>774</v>
      </c>
      <c r="D24" s="1239">
        <v>117</v>
      </c>
      <c r="E24" s="128">
        <f>'[5]SC 6i1_2'!D124</f>
        <v>139403225.32999998</v>
      </c>
      <c r="F24" s="128">
        <f t="shared" si="0"/>
        <v>18342529.648684207</v>
      </c>
      <c r="G24" s="454">
        <f t="shared" si="1"/>
        <v>6.6448909911911325E-2</v>
      </c>
      <c r="H24" s="128">
        <f>'[5]SC 6i1_2'!E124</f>
        <v>7915518.8300000001</v>
      </c>
      <c r="I24" s="468">
        <f t="shared" si="2"/>
        <v>1041515.6355263159</v>
      </c>
      <c r="J24" s="454">
        <f t="shared" si="3"/>
        <v>5.6781461198348315E-2</v>
      </c>
      <c r="L24" s="449">
        <v>18</v>
      </c>
      <c r="M24" s="481" t="s">
        <v>775</v>
      </c>
      <c r="N24" s="450">
        <v>1712168.49</v>
      </c>
      <c r="O24" s="451">
        <v>1709834.1799999997</v>
      </c>
      <c r="P24" s="452">
        <f t="shared" si="4"/>
        <v>0.99863663534655966</v>
      </c>
      <c r="Q24" s="450">
        <v>2011569.6300000001</v>
      </c>
      <c r="R24" s="466" t="s">
        <v>724</v>
      </c>
      <c r="S24" s="55"/>
      <c r="T24" s="449">
        <v>18</v>
      </c>
      <c r="U24" s="430" t="s">
        <v>776</v>
      </c>
      <c r="V24" s="450">
        <v>969094.48</v>
      </c>
      <c r="W24" s="450">
        <f>228324.86+384774.81</f>
        <v>613099.66999999993</v>
      </c>
      <c r="X24" s="452">
        <f t="shared" si="5"/>
        <v>0.6326521125164184</v>
      </c>
      <c r="Y24" s="450">
        <f>268617.5+452676.25</f>
        <v>721293.75</v>
      </c>
      <c r="Z24" s="482"/>
    </row>
    <row r="25" spans="2:26" ht="15" customHeight="1" x14ac:dyDescent="0.25">
      <c r="B25" s="439">
        <f t="shared" si="6"/>
        <v>19</v>
      </c>
      <c r="C25" s="483" t="s">
        <v>777</v>
      </c>
      <c r="D25" s="483">
        <v>1</v>
      </c>
      <c r="E25" s="98">
        <v>313749954.75</v>
      </c>
      <c r="F25" s="128">
        <f t="shared" si="0"/>
        <v>41282888.782894738</v>
      </c>
      <c r="G25" s="454">
        <f t="shared" si="1"/>
        <v>0.14955423325892289</v>
      </c>
      <c r="H25" s="128">
        <f>188936.41+32023.12+37042.66</f>
        <v>258002.19</v>
      </c>
      <c r="I25" s="468">
        <f t="shared" si="2"/>
        <v>33947.656578947368</v>
      </c>
      <c r="J25" s="454">
        <f t="shared" si="3"/>
        <v>8.2231785564902931E-4</v>
      </c>
      <c r="L25" s="449">
        <v>19</v>
      </c>
      <c r="M25" s="481" t="s">
        <v>778</v>
      </c>
      <c r="N25" s="450">
        <v>2225970.86</v>
      </c>
      <c r="O25" s="451">
        <v>2118829.88</v>
      </c>
      <c r="P25" s="452">
        <f t="shared" si="4"/>
        <v>0.95186775266231471</v>
      </c>
      <c r="Q25" s="450">
        <v>2492741.04</v>
      </c>
      <c r="R25" s="466" t="s">
        <v>724</v>
      </c>
      <c r="S25" s="55"/>
      <c r="T25" s="449">
        <v>19</v>
      </c>
      <c r="U25" s="430" t="s">
        <v>779</v>
      </c>
      <c r="V25" s="450">
        <v>314289.03000000003</v>
      </c>
      <c r="W25" s="450">
        <f>157269.75+142693.85</f>
        <v>299963.59999999998</v>
      </c>
      <c r="X25" s="452">
        <f t="shared" si="5"/>
        <v>0.95441956723720189</v>
      </c>
      <c r="Y25" s="450">
        <f>185023.25+167875.13</f>
        <v>352898.38</v>
      </c>
      <c r="Z25" s="477"/>
    </row>
    <row r="26" spans="2:26" ht="15" customHeight="1" x14ac:dyDescent="0.25">
      <c r="B26" s="439">
        <f t="shared" si="6"/>
        <v>20</v>
      </c>
      <c r="C26" s="483" t="s">
        <v>780</v>
      </c>
      <c r="D26" s="483">
        <v>1</v>
      </c>
      <c r="E26" s="98">
        <v>114867436.75</v>
      </c>
      <c r="F26" s="128">
        <f t="shared" si="0"/>
        <v>15114136.414473685</v>
      </c>
      <c r="G26" s="454">
        <f t="shared" si="1"/>
        <v>5.475351046106907E-2</v>
      </c>
      <c r="H26" s="128">
        <v>0</v>
      </c>
      <c r="I26" s="468">
        <v>0</v>
      </c>
      <c r="J26" s="454">
        <f t="shared" si="3"/>
        <v>0</v>
      </c>
      <c r="L26" s="449">
        <v>20</v>
      </c>
      <c r="M26" s="481" t="s">
        <v>781</v>
      </c>
      <c r="N26" s="450">
        <v>1699917.12</v>
      </c>
      <c r="O26" s="450">
        <v>1698593.81</v>
      </c>
      <c r="P26" s="452">
        <f t="shared" si="4"/>
        <v>0.99922154440094113</v>
      </c>
      <c r="Q26" s="450">
        <v>1998345.6600000001</v>
      </c>
      <c r="R26" s="466" t="s">
        <v>724</v>
      </c>
      <c r="S26" s="55"/>
      <c r="T26" s="449">
        <v>20</v>
      </c>
      <c r="U26" s="430" t="s">
        <v>782</v>
      </c>
      <c r="V26" s="450">
        <v>369361.85</v>
      </c>
      <c r="W26" s="450">
        <f>204932.36+37441.15+37994.98</f>
        <v>280368.49</v>
      </c>
      <c r="X26" s="452">
        <f t="shared" si="5"/>
        <v>0.75906185221890132</v>
      </c>
      <c r="Y26" s="450">
        <f>241097.01+44048.43+44700</f>
        <v>329845.44</v>
      </c>
      <c r="Z26" s="484"/>
    </row>
    <row r="27" spans="2:26" ht="15" customHeight="1" x14ac:dyDescent="0.25">
      <c r="B27" s="439">
        <f t="shared" si="6"/>
        <v>21</v>
      </c>
      <c r="C27" s="327" t="s">
        <v>783</v>
      </c>
      <c r="D27" s="327">
        <v>1</v>
      </c>
      <c r="E27" s="128">
        <v>11305000</v>
      </c>
      <c r="F27" s="128">
        <f>E27/7.6</f>
        <v>1487500</v>
      </c>
      <c r="G27" s="454">
        <f>E27/$G$2</f>
        <v>5.3887198432882753E-3</v>
      </c>
      <c r="H27" s="128">
        <v>0</v>
      </c>
      <c r="I27" s="468">
        <v>0</v>
      </c>
      <c r="J27" s="454">
        <f t="shared" si="3"/>
        <v>0</v>
      </c>
      <c r="L27" s="449">
        <v>21</v>
      </c>
      <c r="M27" s="481" t="s">
        <v>784</v>
      </c>
      <c r="N27" s="450">
        <v>1698721</v>
      </c>
      <c r="O27" s="450">
        <v>1661453.8199999998</v>
      </c>
      <c r="P27" s="452">
        <f t="shared" si="4"/>
        <v>0.97806162401006391</v>
      </c>
      <c r="Q27" s="450">
        <v>1954652.13</v>
      </c>
      <c r="R27" s="466" t="s">
        <v>724</v>
      </c>
      <c r="S27" s="55"/>
      <c r="T27" s="449">
        <v>21</v>
      </c>
      <c r="U27" s="430" t="s">
        <v>785</v>
      </c>
      <c r="V27" s="450">
        <v>1199438.22</v>
      </c>
      <c r="W27" s="450">
        <f>650727.93+123219.4</f>
        <v>773947.33000000007</v>
      </c>
      <c r="X27" s="452">
        <f t="shared" si="5"/>
        <v>0.64525818595308737</v>
      </c>
      <c r="Y27" s="450">
        <f>765562.28+144964</f>
        <v>910526.28</v>
      </c>
    </row>
    <row r="28" spans="2:26" ht="15" customHeight="1" x14ac:dyDescent="0.25">
      <c r="B28" s="540">
        <v>22</v>
      </c>
      <c r="C28" s="1239" t="s">
        <v>863</v>
      </c>
      <c r="D28" s="327">
        <v>1</v>
      </c>
      <c r="E28" s="128">
        <v>75678598.969999999</v>
      </c>
      <c r="F28" s="128">
        <f>E28/7.6</f>
        <v>9957710.3907894734</v>
      </c>
      <c r="G28" s="454">
        <f>E28/$G$2</f>
        <v>3.6073486774161397E-2</v>
      </c>
      <c r="H28" s="128">
        <v>0</v>
      </c>
      <c r="I28" s="468">
        <v>0</v>
      </c>
      <c r="J28" s="454">
        <f t="shared" si="3"/>
        <v>0</v>
      </c>
      <c r="L28" s="449">
        <v>22</v>
      </c>
      <c r="M28" s="481" t="s">
        <v>787</v>
      </c>
      <c r="N28" s="450">
        <v>3387894.9</v>
      </c>
      <c r="O28" s="450">
        <v>3192308.32</v>
      </c>
      <c r="P28" s="452">
        <f t="shared" si="4"/>
        <v>0.94226899423591914</v>
      </c>
      <c r="Q28" s="450">
        <v>3755656.8800000008</v>
      </c>
      <c r="R28" s="466" t="s">
        <v>724</v>
      </c>
      <c r="S28" s="55"/>
      <c r="T28" s="449">
        <v>22</v>
      </c>
      <c r="U28" s="430" t="s">
        <v>788</v>
      </c>
      <c r="V28" s="450">
        <v>1014349.62</v>
      </c>
      <c r="W28" s="450">
        <f>95466.04+280425.63+410096.95</f>
        <v>785988.62</v>
      </c>
      <c r="X28" s="452">
        <f t="shared" si="5"/>
        <v>0.77486953660021085</v>
      </c>
      <c r="Y28" s="450">
        <f>112313+329912.5+482467</f>
        <v>924692.5</v>
      </c>
    </row>
    <row r="29" spans="2:26" ht="15" customHeight="1" x14ac:dyDescent="0.25">
      <c r="B29" s="485" t="s">
        <v>786</v>
      </c>
      <c r="C29" s="486"/>
      <c r="D29" s="487">
        <f>SUM(D7:D28)</f>
        <v>493</v>
      </c>
      <c r="E29" s="488">
        <f>SUM(E7:E28)</f>
        <v>3868174384.6199999</v>
      </c>
      <c r="F29" s="488">
        <f>SUM(F7:F28)</f>
        <v>508970313.76578951</v>
      </c>
      <c r="G29" s="489">
        <f>E29/$G$2</f>
        <v>1.8438308769306684</v>
      </c>
      <c r="H29" s="488">
        <f>SUM(H7:H28)</f>
        <v>801602328.75000036</v>
      </c>
      <c r="I29" s="488">
        <f>SUM(I7:I27)</f>
        <v>105473990.625</v>
      </c>
      <c r="J29" s="489">
        <f>I29/F29</f>
        <v>0.20723014245097107</v>
      </c>
      <c r="L29" s="449">
        <v>23</v>
      </c>
      <c r="M29" s="481" t="s">
        <v>789</v>
      </c>
      <c r="N29" s="450">
        <v>1918681.65</v>
      </c>
      <c r="O29" s="450">
        <v>1659295.97</v>
      </c>
      <c r="P29" s="452">
        <f t="shared" si="4"/>
        <v>0.86481046503988823</v>
      </c>
      <c r="Q29" s="450">
        <v>1952112.9</v>
      </c>
      <c r="R29" s="466" t="s">
        <v>724</v>
      </c>
      <c r="S29" s="55"/>
      <c r="T29" s="449">
        <v>23</v>
      </c>
      <c r="U29" s="430" t="s">
        <v>790</v>
      </c>
      <c r="V29" s="450">
        <v>500000</v>
      </c>
      <c r="W29" s="450">
        <f>296715.78+51956.72+64451.1</f>
        <v>413123.6</v>
      </c>
      <c r="X29" s="452">
        <f t="shared" si="5"/>
        <v>0.82624719999999996</v>
      </c>
      <c r="Y29" s="450">
        <f>349308.38+61166+75875</f>
        <v>486349.38</v>
      </c>
    </row>
    <row r="30" spans="2:26" ht="15" customHeight="1" x14ac:dyDescent="0.25">
      <c r="B30" s="490" t="s">
        <v>2032</v>
      </c>
      <c r="C30" s="965"/>
      <c r="D30" s="965"/>
      <c r="E30" s="965"/>
      <c r="F30" s="965"/>
      <c r="G30" s="965"/>
      <c r="H30" s="965"/>
      <c r="I30" s="965"/>
      <c r="J30" s="965"/>
      <c r="L30" s="449">
        <v>24</v>
      </c>
      <c r="M30" s="481" t="s">
        <v>791</v>
      </c>
      <c r="N30" s="450">
        <v>2816348.73</v>
      </c>
      <c r="O30" s="450">
        <v>2301763.3000000003</v>
      </c>
      <c r="P30" s="452">
        <f t="shared" si="4"/>
        <v>0.81728632377141741</v>
      </c>
      <c r="Q30" s="450">
        <v>2707956.83</v>
      </c>
      <c r="R30" s="466" t="s">
        <v>724</v>
      </c>
      <c r="S30" s="55"/>
      <c r="T30" s="449">
        <v>24</v>
      </c>
      <c r="U30" s="430" t="s">
        <v>792</v>
      </c>
      <c r="V30" s="450">
        <v>483907.26</v>
      </c>
      <c r="W30" s="450">
        <f>116821.95+145642.62</f>
        <v>262464.57</v>
      </c>
      <c r="X30" s="452">
        <f t="shared" si="5"/>
        <v>0.54238609687319017</v>
      </c>
      <c r="Y30" s="450">
        <f>137437.6+171344.25</f>
        <v>308781.84999999998</v>
      </c>
    </row>
    <row r="31" spans="2:26" ht="15" customHeight="1" x14ac:dyDescent="0.25">
      <c r="B31" s="490" t="s">
        <v>2010</v>
      </c>
      <c r="D31" s="490"/>
      <c r="E31" s="490"/>
      <c r="F31" s="490"/>
      <c r="G31" s="490"/>
      <c r="H31" s="490"/>
      <c r="I31" s="490"/>
      <c r="J31" s="490"/>
      <c r="L31" s="449">
        <v>25</v>
      </c>
      <c r="M31" s="481" t="s">
        <v>793</v>
      </c>
      <c r="N31" s="450">
        <v>1695979.5</v>
      </c>
      <c r="O31" s="450">
        <v>1189838.5</v>
      </c>
      <c r="P31" s="452">
        <f t="shared" si="4"/>
        <v>0.70156419933141878</v>
      </c>
      <c r="Q31" s="450">
        <v>1399809.99</v>
      </c>
      <c r="R31" s="466" t="s">
        <v>724</v>
      </c>
      <c r="S31" s="55"/>
      <c r="T31" s="449">
        <v>25</v>
      </c>
      <c r="U31" s="430" t="s">
        <v>794</v>
      </c>
      <c r="V31" s="450">
        <v>500000</v>
      </c>
      <c r="W31" s="450">
        <f>216325.8+11389.84+113402.9</f>
        <v>341118.54</v>
      </c>
      <c r="X31" s="452">
        <f t="shared" si="5"/>
        <v>0.68223707999999994</v>
      </c>
      <c r="Y31" s="450">
        <f>281037.5+14797+147326.25</f>
        <v>443160.75</v>
      </c>
    </row>
    <row r="32" spans="2:26" ht="15" customHeight="1" x14ac:dyDescent="0.25">
      <c r="D32" s="490"/>
      <c r="E32" s="490"/>
      <c r="F32" s="490"/>
      <c r="G32" s="490"/>
      <c r="H32" s="490"/>
      <c r="I32" s="995"/>
      <c r="J32" s="490"/>
      <c r="L32" s="449">
        <v>26</v>
      </c>
      <c r="M32" s="481" t="s">
        <v>795</v>
      </c>
      <c r="N32" s="450">
        <v>4172815.36</v>
      </c>
      <c r="O32" s="450">
        <v>3867124.6399999997</v>
      </c>
      <c r="P32" s="452">
        <f t="shared" si="4"/>
        <v>0.92674233254356109</v>
      </c>
      <c r="Q32" s="450">
        <v>4549558.4000000004</v>
      </c>
      <c r="R32" s="466" t="s">
        <v>724</v>
      </c>
      <c r="S32" s="55"/>
      <c r="T32" s="449">
        <v>26</v>
      </c>
      <c r="U32" s="430" t="s">
        <v>796</v>
      </c>
      <c r="V32" s="450">
        <v>500000</v>
      </c>
      <c r="W32" s="450">
        <f>345362.54+73878.76</f>
        <v>419241.3</v>
      </c>
      <c r="X32" s="452">
        <f t="shared" si="5"/>
        <v>0.83848259999999997</v>
      </c>
      <c r="Y32" s="450">
        <f>446082.25+95424.37</f>
        <v>541506.62</v>
      </c>
    </row>
    <row r="33" spans="2:25" ht="15" customHeight="1" x14ac:dyDescent="0.25">
      <c r="B33" s="491"/>
      <c r="C33" s="491"/>
      <c r="D33" s="491"/>
      <c r="E33" s="492"/>
      <c r="F33" s="492"/>
      <c r="G33" s="493"/>
      <c r="H33" s="492"/>
      <c r="I33" s="996"/>
      <c r="J33" s="493"/>
      <c r="L33" s="449">
        <v>27</v>
      </c>
      <c r="M33" s="495" t="s">
        <v>798</v>
      </c>
      <c r="N33" s="450">
        <v>2601183.37</v>
      </c>
      <c r="O33" s="450">
        <v>2540056.6799999997</v>
      </c>
      <c r="P33" s="452">
        <f t="shared" si="4"/>
        <v>0.97650043026378397</v>
      </c>
      <c r="Q33" s="450">
        <v>2988301.98</v>
      </c>
      <c r="R33" s="466" t="s">
        <v>724</v>
      </c>
      <c r="S33" s="55"/>
      <c r="T33" s="449">
        <v>27</v>
      </c>
      <c r="U33" s="430" t="s">
        <v>799</v>
      </c>
      <c r="V33" s="450">
        <v>279358.96999999997</v>
      </c>
      <c r="W33" s="450">
        <f>224993.45+14343.75+18381.25</f>
        <v>257718.45</v>
      </c>
      <c r="X33" s="452">
        <f t="shared" si="5"/>
        <v>0.92253508093905146</v>
      </c>
      <c r="Y33" s="450">
        <f>264698.2+16875+21625</f>
        <v>303198.2</v>
      </c>
    </row>
    <row r="34" spans="2:25" ht="15" customHeight="1" x14ac:dyDescent="0.25">
      <c r="B34" s="1456" t="s">
        <v>797</v>
      </c>
      <c r="C34" s="1457"/>
      <c r="D34" s="1457"/>
      <c r="E34" s="1457"/>
      <c r="F34" s="1457"/>
      <c r="G34" s="1462"/>
      <c r="H34" s="182"/>
      <c r="I34" s="494"/>
      <c r="L34" s="449">
        <v>28</v>
      </c>
      <c r="M34" s="430" t="s">
        <v>800</v>
      </c>
      <c r="N34" s="450">
        <v>1486863.35</v>
      </c>
      <c r="O34" s="451">
        <v>1486863.35</v>
      </c>
      <c r="P34" s="452">
        <f t="shared" si="4"/>
        <v>1</v>
      </c>
      <c r="Q34" s="450">
        <v>1749251.01</v>
      </c>
      <c r="R34" s="466" t="s">
        <v>724</v>
      </c>
      <c r="S34" s="55"/>
      <c r="T34" s="449">
        <v>28</v>
      </c>
      <c r="U34" s="430" t="s">
        <v>801</v>
      </c>
      <c r="V34" s="450">
        <v>430289.76</v>
      </c>
      <c r="W34" s="450">
        <v>255211.59</v>
      </c>
      <c r="X34" s="452">
        <f t="shared" si="5"/>
        <v>0.59311564839470032</v>
      </c>
      <c r="Y34" s="450">
        <v>300248.98</v>
      </c>
    </row>
    <row r="35" spans="2:25" ht="15" customHeight="1" x14ac:dyDescent="0.25">
      <c r="B35" s="1463"/>
      <c r="C35" s="1464"/>
      <c r="D35" s="1464"/>
      <c r="E35" s="1464"/>
      <c r="F35" s="1464"/>
      <c r="G35" s="1465"/>
      <c r="H35" s="182"/>
      <c r="I35" s="1175"/>
      <c r="L35" s="449">
        <v>29</v>
      </c>
      <c r="M35" s="430" t="s">
        <v>802</v>
      </c>
      <c r="N35" s="450">
        <v>4381532.4000000004</v>
      </c>
      <c r="O35" s="451">
        <v>4349303.7200000007</v>
      </c>
      <c r="P35" s="452">
        <f t="shared" si="4"/>
        <v>0.99264442732410252</v>
      </c>
      <c r="Q35" s="450">
        <v>5116827.9000000004</v>
      </c>
      <c r="R35" s="466" t="s">
        <v>724</v>
      </c>
      <c r="S35" s="55"/>
      <c r="T35" s="449">
        <v>29</v>
      </c>
      <c r="U35" s="430" t="s">
        <v>803</v>
      </c>
      <c r="V35" s="450">
        <v>1193442.53</v>
      </c>
      <c r="W35" s="450">
        <v>735287.39</v>
      </c>
      <c r="X35" s="452">
        <f t="shared" si="5"/>
        <v>0.61610624015552717</v>
      </c>
      <c r="Y35" s="450">
        <v>897041.74</v>
      </c>
    </row>
    <row r="36" spans="2:25" ht="15" customHeight="1" x14ac:dyDescent="0.25">
      <c r="B36" s="496">
        <v>1</v>
      </c>
      <c r="C36" s="327" t="s">
        <v>768</v>
      </c>
      <c r="D36" s="327">
        <v>4</v>
      </c>
      <c r="E36" s="182">
        <v>706498.75</v>
      </c>
      <c r="F36" s="128">
        <f t="shared" ref="F36:F39" si="7">E36/7.6</f>
        <v>92960.361842105267</v>
      </c>
      <c r="G36" s="454">
        <f t="shared" ref="G36:G40" si="8">E36/$G$2</f>
        <v>3.367646026876039E-4</v>
      </c>
      <c r="H36"/>
      <c r="I36" s="182"/>
      <c r="L36" s="457">
        <v>30</v>
      </c>
      <c r="M36" s="430" t="s">
        <v>805</v>
      </c>
      <c r="N36" s="450">
        <v>3121536.54</v>
      </c>
      <c r="O36" s="451">
        <v>3010322.42</v>
      </c>
      <c r="P36" s="452">
        <f t="shared" si="4"/>
        <v>0.9643719948253433</v>
      </c>
      <c r="Q36" s="450">
        <v>3550464.5999999996</v>
      </c>
      <c r="R36" s="466" t="s">
        <v>724</v>
      </c>
      <c r="S36" s="55"/>
      <c r="T36" s="449">
        <v>30</v>
      </c>
      <c r="U36" s="430" t="s">
        <v>806</v>
      </c>
      <c r="V36" s="450">
        <v>464944.2</v>
      </c>
      <c r="W36" s="450">
        <f>41584.11+131218.74+259396.59</f>
        <v>432199.43999999994</v>
      </c>
      <c r="X36" s="452">
        <f t="shared" si="5"/>
        <v>0.92957271001552433</v>
      </c>
      <c r="Y36" s="450">
        <f>48922.5+154375+305172.5</f>
        <v>508470</v>
      </c>
    </row>
    <row r="37" spans="2:25" ht="14.25" customHeight="1" x14ac:dyDescent="0.25">
      <c r="B37" s="496">
        <f>1+B36</f>
        <v>2</v>
      </c>
      <c r="C37" s="327" t="s">
        <v>804</v>
      </c>
      <c r="D37" s="327">
        <v>0</v>
      </c>
      <c r="E37" s="128">
        <f>'[7]SC 6i1_2'!Z53</f>
        <v>0</v>
      </c>
      <c r="F37" s="128">
        <f t="shared" si="7"/>
        <v>0</v>
      </c>
      <c r="G37" s="454">
        <f t="shared" si="8"/>
        <v>0</v>
      </c>
      <c r="H37"/>
      <c r="I37" s="182"/>
      <c r="L37" s="449">
        <v>31</v>
      </c>
      <c r="M37" s="430" t="s">
        <v>807</v>
      </c>
      <c r="N37" s="450">
        <v>1999395.75</v>
      </c>
      <c r="O37" s="451">
        <v>1703919.4600000002</v>
      </c>
      <c r="P37" s="452">
        <f t="shared" si="4"/>
        <v>0.85221720612340013</v>
      </c>
      <c r="Q37" s="450">
        <v>2004611.1400000001</v>
      </c>
      <c r="R37" s="466" t="s">
        <v>724</v>
      </c>
      <c r="S37" s="55"/>
      <c r="T37" s="449">
        <v>31</v>
      </c>
      <c r="U37" s="430" t="s">
        <v>808</v>
      </c>
      <c r="V37" s="450">
        <v>312374.96000000002</v>
      </c>
      <c r="W37" s="450">
        <f>153567.54+8357.42</f>
        <v>161924.96000000002</v>
      </c>
      <c r="X37" s="452">
        <f t="shared" si="5"/>
        <v>0.51836728526511855</v>
      </c>
      <c r="Y37" s="450">
        <v>190499.96</v>
      </c>
    </row>
    <row r="38" spans="2:25" ht="15" customHeight="1" x14ac:dyDescent="0.25">
      <c r="B38" s="496">
        <f>1+B37</f>
        <v>3</v>
      </c>
      <c r="C38" s="327" t="s">
        <v>774</v>
      </c>
      <c r="D38" s="327">
        <v>0</v>
      </c>
      <c r="E38" s="128">
        <v>0</v>
      </c>
      <c r="F38" s="128">
        <f t="shared" si="7"/>
        <v>0</v>
      </c>
      <c r="G38" s="454">
        <f t="shared" si="8"/>
        <v>0</v>
      </c>
      <c r="H38"/>
      <c r="I38" s="182"/>
      <c r="L38" s="449">
        <v>32</v>
      </c>
      <c r="M38" s="430" t="s">
        <v>809</v>
      </c>
      <c r="N38" s="450">
        <v>2796134.37</v>
      </c>
      <c r="O38" s="451">
        <v>1601217.22</v>
      </c>
      <c r="P38" s="452">
        <f t="shared" si="4"/>
        <v>0.57265388858976751</v>
      </c>
      <c r="Q38" s="450">
        <v>1883784.97</v>
      </c>
      <c r="R38" s="466" t="s">
        <v>724</v>
      </c>
      <c r="S38" s="55"/>
      <c r="T38" s="449">
        <v>32</v>
      </c>
      <c r="U38" s="430" t="s">
        <v>810</v>
      </c>
      <c r="V38" s="450">
        <v>440214.9</v>
      </c>
      <c r="W38" s="450">
        <f>50011.87+383180.96</f>
        <v>433192.83</v>
      </c>
      <c r="X38" s="452">
        <f t="shared" si="5"/>
        <v>0.98404854083766813</v>
      </c>
      <c r="Y38" s="450">
        <f>58837.5+450801.15</f>
        <v>509638.65</v>
      </c>
    </row>
    <row r="39" spans="2:25" ht="15" customHeight="1" x14ac:dyDescent="0.25">
      <c r="B39" s="496">
        <f>1+B38</f>
        <v>4</v>
      </c>
      <c r="C39" s="327" t="s">
        <v>756</v>
      </c>
      <c r="D39" s="327">
        <v>0</v>
      </c>
      <c r="E39" s="128">
        <v>0</v>
      </c>
      <c r="F39" s="128">
        <f t="shared" si="7"/>
        <v>0</v>
      </c>
      <c r="G39" s="454">
        <f t="shared" si="8"/>
        <v>0</v>
      </c>
      <c r="H39" s="182"/>
      <c r="I39" s="182"/>
      <c r="L39" s="449">
        <v>33</v>
      </c>
      <c r="M39" s="430" t="s">
        <v>811</v>
      </c>
      <c r="N39" s="450">
        <v>1572248.61</v>
      </c>
      <c r="O39" s="451">
        <v>1296048.76</v>
      </c>
      <c r="P39" s="452">
        <f t="shared" si="4"/>
        <v>0.82432813217751866</v>
      </c>
      <c r="Q39" s="450">
        <v>1524763.25</v>
      </c>
      <c r="R39" s="466" t="s">
        <v>724</v>
      </c>
      <c r="S39" s="55"/>
      <c r="T39" s="449">
        <v>33</v>
      </c>
      <c r="U39" s="430" t="s">
        <v>812</v>
      </c>
      <c r="V39" s="450">
        <v>500000</v>
      </c>
      <c r="W39" s="450">
        <f>321266.22+56120.67+57849.32+16158.19</f>
        <v>451394.39999999997</v>
      </c>
      <c r="X39" s="452">
        <f t="shared" si="5"/>
        <v>0.90278879999999995</v>
      </c>
      <c r="Y39" s="450">
        <f>380253.96+66425+68471.04+19125</f>
        <v>534275</v>
      </c>
    </row>
    <row r="40" spans="2:25" ht="15" customHeight="1" x14ac:dyDescent="0.25">
      <c r="B40" s="485" t="s">
        <v>786</v>
      </c>
      <c r="C40" s="486"/>
      <c r="D40" s="487">
        <f>SUM(D36:D39)</f>
        <v>4</v>
      </c>
      <c r="E40" s="488">
        <f>SUM(E36:E39)</f>
        <v>706498.75</v>
      </c>
      <c r="F40" s="488">
        <f>SUM(F36:F39)</f>
        <v>92960.361842105267</v>
      </c>
      <c r="G40" s="489">
        <f t="shared" si="8"/>
        <v>3.367646026876039E-4</v>
      </c>
      <c r="H40" s="182"/>
      <c r="I40" s="182"/>
      <c r="L40" s="449">
        <v>34</v>
      </c>
      <c r="M40" s="430" t="s">
        <v>813</v>
      </c>
      <c r="N40" s="450">
        <v>2514697.86</v>
      </c>
      <c r="O40" s="451">
        <v>2321940.2199999997</v>
      </c>
      <c r="P40" s="452">
        <f t="shared" si="4"/>
        <v>0.92334759452970616</v>
      </c>
      <c r="Q40" s="450">
        <v>2731694.4</v>
      </c>
      <c r="R40" s="466" t="s">
        <v>724</v>
      </c>
      <c r="S40" s="55"/>
      <c r="T40" s="449">
        <v>34</v>
      </c>
      <c r="U40" s="430" t="s">
        <v>814</v>
      </c>
      <c r="V40" s="450">
        <v>474407.06</v>
      </c>
      <c r="W40" s="450">
        <f>86732.29+242347.73</f>
        <v>329080.02</v>
      </c>
      <c r="X40" s="452">
        <f t="shared" si="5"/>
        <v>0.69366594164935069</v>
      </c>
      <c r="Y40" s="450">
        <f>102038+285115</f>
        <v>387153</v>
      </c>
    </row>
    <row r="41" spans="2:25" ht="15" customHeight="1" x14ac:dyDescent="0.25">
      <c r="H41"/>
      <c r="I41" s="182"/>
      <c r="J41" s="335"/>
      <c r="L41" s="449">
        <v>35</v>
      </c>
      <c r="M41" s="430" t="s">
        <v>815</v>
      </c>
      <c r="N41" s="450">
        <v>4113658.44</v>
      </c>
      <c r="O41" s="451">
        <v>3114421.4400000004</v>
      </c>
      <c r="P41" s="452">
        <f t="shared" si="4"/>
        <v>0.75709286160374567</v>
      </c>
      <c r="Q41" s="450">
        <v>3664025.22</v>
      </c>
      <c r="R41" s="466" t="s">
        <v>724</v>
      </c>
      <c r="S41" s="55"/>
      <c r="T41" s="449">
        <v>35</v>
      </c>
      <c r="U41" s="430" t="s">
        <v>816</v>
      </c>
      <c r="V41" s="450">
        <v>437545.7</v>
      </c>
      <c r="W41" s="450">
        <f>250483.04+74286.04+43332.15</f>
        <v>368101.23000000004</v>
      </c>
      <c r="X41" s="452">
        <f t="shared" si="5"/>
        <v>0.84128636163033943</v>
      </c>
      <c r="Y41" s="450">
        <f>294685.94+87395.34+50979</f>
        <v>433060.28</v>
      </c>
    </row>
    <row r="42" spans="2:25" ht="15" customHeight="1" x14ac:dyDescent="0.25">
      <c r="B42" s="497"/>
      <c r="H42"/>
      <c r="I42" s="182"/>
      <c r="J42" s="335"/>
      <c r="L42" s="449">
        <v>36</v>
      </c>
      <c r="M42" s="430" t="s">
        <v>817</v>
      </c>
      <c r="N42" s="450">
        <v>2031336</v>
      </c>
      <c r="O42" s="451">
        <v>1734052.3699999999</v>
      </c>
      <c r="P42" s="452">
        <f t="shared" si="4"/>
        <v>0.85365117833780324</v>
      </c>
      <c r="Q42" s="450">
        <v>2040062.06</v>
      </c>
      <c r="R42" s="466" t="s">
        <v>724</v>
      </c>
      <c r="S42" s="55"/>
      <c r="T42" s="449">
        <v>36</v>
      </c>
      <c r="U42" s="430" t="s">
        <v>818</v>
      </c>
      <c r="V42" s="450">
        <v>414637.21</v>
      </c>
      <c r="W42" s="450">
        <f>99498.49+36507.5+244389.84</f>
        <v>380395.82999999996</v>
      </c>
      <c r="X42" s="452">
        <f t="shared" si="5"/>
        <v>0.91741845841573155</v>
      </c>
      <c r="Y42" s="450">
        <f>117057.06+42950+287517.47</f>
        <v>447524.52999999997</v>
      </c>
    </row>
    <row r="43" spans="2:25" ht="15" customHeight="1" x14ac:dyDescent="0.25">
      <c r="E43" s="1466" t="s">
        <v>819</v>
      </c>
      <c r="F43" s="1477">
        <f>E29+E40</f>
        <v>3868880883.3699999</v>
      </c>
      <c r="G43" s="1477"/>
      <c r="H43"/>
      <c r="I43" s="182"/>
      <c r="J43" s="335"/>
      <c r="L43" s="449">
        <v>37</v>
      </c>
      <c r="M43" s="430" t="s">
        <v>820</v>
      </c>
      <c r="N43" s="450">
        <v>2263504</v>
      </c>
      <c r="O43" s="451">
        <v>2259248.9300000002</v>
      </c>
      <c r="P43" s="452">
        <f t="shared" si="4"/>
        <v>0.99812014027808216</v>
      </c>
      <c r="Q43" s="450">
        <v>2657940.2999999998</v>
      </c>
      <c r="R43" s="466" t="s">
        <v>724</v>
      </c>
      <c r="S43" s="55"/>
      <c r="T43" s="449">
        <v>37</v>
      </c>
      <c r="U43" s="430" t="s">
        <v>821</v>
      </c>
      <c r="V43" s="450">
        <v>429863.61</v>
      </c>
      <c r="W43" s="450">
        <f>59754.99+94780.32+186774.74+27757.82</f>
        <v>369067.87</v>
      </c>
      <c r="X43" s="452">
        <f t="shared" si="5"/>
        <v>0.85856969842132025</v>
      </c>
      <c r="Y43" s="450">
        <f>70300+111506.25+219735+32656.25</f>
        <v>434197.5</v>
      </c>
    </row>
    <row r="44" spans="2:25" ht="15" customHeight="1" x14ac:dyDescent="0.25">
      <c r="E44" s="1467"/>
      <c r="F44" s="1475">
        <f>F29+F40</f>
        <v>509063274.1276316</v>
      </c>
      <c r="G44" s="1475"/>
      <c r="H44"/>
      <c r="I44" s="182"/>
      <c r="J44" s="326"/>
      <c r="L44" s="449">
        <v>38</v>
      </c>
      <c r="M44" s="430" t="s">
        <v>822</v>
      </c>
      <c r="N44" s="450">
        <v>2343422.41</v>
      </c>
      <c r="O44" s="451">
        <v>2043998.36</v>
      </c>
      <c r="P44" s="452">
        <f t="shared" si="4"/>
        <v>0.87222787973594562</v>
      </c>
      <c r="Q44" s="450">
        <v>2404703.96</v>
      </c>
      <c r="R44" s="466" t="s">
        <v>724</v>
      </c>
      <c r="S44" s="55"/>
      <c r="T44" s="449">
        <v>38</v>
      </c>
      <c r="U44" s="430" t="s">
        <v>823</v>
      </c>
      <c r="V44" s="450">
        <v>488252.56</v>
      </c>
      <c r="W44" s="450">
        <f>148850.51+145753.75+6460</f>
        <v>301064.26</v>
      </c>
      <c r="X44" s="452">
        <f t="shared" si="5"/>
        <v>0.61661583505061401</v>
      </c>
      <c r="Y44" s="450">
        <f>175118.25+171475+7600</f>
        <v>354193.25</v>
      </c>
    </row>
    <row r="45" spans="2:25" ht="15" customHeight="1" x14ac:dyDescent="0.25">
      <c r="E45" s="1468"/>
      <c r="F45" s="1476">
        <f>F44/E2</f>
        <v>1.8441676415333559</v>
      </c>
      <c r="G45" s="1476"/>
      <c r="H45"/>
      <c r="I45" s="182"/>
      <c r="J45" s="326"/>
      <c r="L45" s="449">
        <v>39</v>
      </c>
      <c r="M45" s="430" t="s">
        <v>824</v>
      </c>
      <c r="N45" s="450">
        <v>2367482</v>
      </c>
      <c r="O45" s="451">
        <v>1901208.29</v>
      </c>
      <c r="P45" s="452">
        <f t="shared" si="4"/>
        <v>0.80305078982649081</v>
      </c>
      <c r="Q45" s="450">
        <v>2236716.8699999996</v>
      </c>
      <c r="R45" s="466" t="s">
        <v>724</v>
      </c>
      <c r="S45" s="55"/>
      <c r="T45" s="449">
        <v>39</v>
      </c>
      <c r="U45" s="430" t="s">
        <v>825</v>
      </c>
      <c r="V45" s="450">
        <v>499500.08</v>
      </c>
      <c r="W45" s="450">
        <f>267317.4+148047.6+74767.35</f>
        <v>490132.35</v>
      </c>
      <c r="X45" s="452">
        <f t="shared" si="5"/>
        <v>0.98124578878946322</v>
      </c>
      <c r="Y45" s="450">
        <f>314491.07+174173.65+87961.59</f>
        <v>576626.30999999994</v>
      </c>
    </row>
    <row r="46" spans="2:25" ht="15" customHeight="1" x14ac:dyDescent="0.25">
      <c r="E46" s="498"/>
      <c r="F46" s="499"/>
      <c r="G46" s="499"/>
      <c r="I46" s="182"/>
      <c r="J46" s="326"/>
      <c r="L46" s="449">
        <v>40</v>
      </c>
      <c r="M46" s="430" t="s">
        <v>826</v>
      </c>
      <c r="N46" s="450">
        <v>3907221.56</v>
      </c>
      <c r="O46" s="451">
        <v>3383459.3200000003</v>
      </c>
      <c r="P46" s="452">
        <f t="shared" si="4"/>
        <v>0.86595020733863892</v>
      </c>
      <c r="Q46" s="450">
        <v>3980540.38</v>
      </c>
      <c r="R46" s="466" t="s">
        <v>724</v>
      </c>
      <c r="S46" s="55"/>
      <c r="T46" s="449">
        <v>40</v>
      </c>
      <c r="U46" s="430" t="s">
        <v>827</v>
      </c>
      <c r="V46" s="450">
        <v>254952.62</v>
      </c>
      <c r="W46" s="450">
        <f>65434.76+119395.39+70090.94</f>
        <v>254921.09</v>
      </c>
      <c r="X46" s="452">
        <f t="shared" si="5"/>
        <v>0.99987632996279863</v>
      </c>
      <c r="Y46" s="450">
        <f>76982.15+140465.3+82460</f>
        <v>299907.44999999995</v>
      </c>
    </row>
    <row r="47" spans="2:25" ht="15" customHeight="1" x14ac:dyDescent="0.25">
      <c r="B47" s="1456" t="s">
        <v>828</v>
      </c>
      <c r="C47" s="1457"/>
      <c r="D47" s="1457"/>
      <c r="E47" s="1457"/>
      <c r="F47" s="1457"/>
      <c r="G47" s="1462"/>
      <c r="I47" s="182"/>
      <c r="J47" s="182"/>
      <c r="L47" s="449">
        <v>41</v>
      </c>
      <c r="M47" s="430" t="s">
        <v>829</v>
      </c>
      <c r="N47" s="450">
        <v>2386680.4700000002</v>
      </c>
      <c r="O47" s="451">
        <v>2386680.46</v>
      </c>
      <c r="P47" s="452">
        <f t="shared" si="4"/>
        <v>0.99999999581008003</v>
      </c>
      <c r="Q47" s="450">
        <v>2807859.38</v>
      </c>
      <c r="R47" s="466" t="s">
        <v>724</v>
      </c>
      <c r="S47" s="55"/>
      <c r="T47" s="449">
        <v>41</v>
      </c>
      <c r="U47" s="430" t="s">
        <v>830</v>
      </c>
      <c r="V47" s="450">
        <v>433338.16</v>
      </c>
      <c r="W47" s="450">
        <f>72292.41+128974.6+107354.87</f>
        <v>308621.88</v>
      </c>
      <c r="X47" s="452">
        <f t="shared" si="5"/>
        <v>0.7121964056892659</v>
      </c>
      <c r="Y47" s="450">
        <f>85050+151735+126300</f>
        <v>363085</v>
      </c>
    </row>
    <row r="48" spans="2:25" ht="15" customHeight="1" x14ac:dyDescent="0.25">
      <c r="B48" s="1463"/>
      <c r="C48" s="1464"/>
      <c r="D48" s="1464"/>
      <c r="E48" s="1464"/>
      <c r="F48" s="1464"/>
      <c r="G48" s="1465"/>
      <c r="I48" s="182"/>
      <c r="J48" s="341"/>
      <c r="L48" s="449">
        <v>42</v>
      </c>
      <c r="M48" s="450" t="s">
        <v>831</v>
      </c>
      <c r="N48" s="450">
        <v>2218121.4700000002</v>
      </c>
      <c r="O48" s="451">
        <v>1837050.02</v>
      </c>
      <c r="P48" s="452">
        <f t="shared" si="4"/>
        <v>0.8282008198586166</v>
      </c>
      <c r="Q48" s="450">
        <v>2161235.33</v>
      </c>
      <c r="R48" s="466" t="s">
        <v>724</v>
      </c>
      <c r="S48" s="55"/>
      <c r="T48" s="449">
        <v>42</v>
      </c>
      <c r="U48" s="430" t="s">
        <v>832</v>
      </c>
      <c r="V48" s="450">
        <v>327835.64</v>
      </c>
      <c r="W48" s="450">
        <f>127155.74+43954.56+43106.9+77290.5</f>
        <v>291507.69999999995</v>
      </c>
      <c r="X48" s="452">
        <f t="shared" si="5"/>
        <v>0.88918855802255037</v>
      </c>
      <c r="Y48" s="450">
        <f>149595+51711.25+50714+90930</f>
        <v>342950.25</v>
      </c>
    </row>
    <row r="49" spans="2:25" ht="15" customHeight="1" x14ac:dyDescent="0.25">
      <c r="B49" s="439">
        <v>1</v>
      </c>
      <c r="C49" s="1458" t="s">
        <v>833</v>
      </c>
      <c r="D49" s="1459"/>
      <c r="E49" s="110">
        <v>49143549.799999997</v>
      </c>
      <c r="F49" s="128">
        <f t="shared" ref="F49:F51" si="9">E49/7.6</f>
        <v>6466256.5526315784</v>
      </c>
      <c r="G49" s="454">
        <f t="shared" ref="G49:G51" si="10">E49/$G$2</f>
        <v>2.3425105880308317E-2</v>
      </c>
      <c r="H49" s="492"/>
      <c r="I49" s="182"/>
      <c r="J49" s="500"/>
      <c r="L49" s="449">
        <v>43</v>
      </c>
      <c r="M49" s="450" t="s">
        <v>834</v>
      </c>
      <c r="N49" s="450">
        <v>899577.95</v>
      </c>
      <c r="O49" s="451">
        <v>881955.85000000009</v>
      </c>
      <c r="P49" s="452">
        <f t="shared" si="4"/>
        <v>0.98041070259670116</v>
      </c>
      <c r="Q49" s="450">
        <v>1037595.11</v>
      </c>
      <c r="R49" s="466" t="s">
        <v>724</v>
      </c>
      <c r="S49" s="55"/>
      <c r="T49" s="449">
        <v>43</v>
      </c>
      <c r="U49" s="430" t="s">
        <v>835</v>
      </c>
      <c r="V49" s="450">
        <v>809001.18</v>
      </c>
      <c r="W49" s="450">
        <f>33999.99+135357.61+476827.32</f>
        <v>646184.91999999993</v>
      </c>
      <c r="X49" s="452">
        <f t="shared" si="5"/>
        <v>0.79874410071935853</v>
      </c>
      <c r="Y49" s="450">
        <f>40000+159244.25+560973.35</f>
        <v>760217.59999999998</v>
      </c>
    </row>
    <row r="50" spans="2:25" ht="15" customHeight="1" x14ac:dyDescent="0.25">
      <c r="B50" s="439">
        <f>1+B49</f>
        <v>2</v>
      </c>
      <c r="C50" s="1472" t="s">
        <v>836</v>
      </c>
      <c r="D50" s="1473"/>
      <c r="E50" s="128">
        <f>100000000-E21-E37</f>
        <v>23455333.24000001</v>
      </c>
      <c r="F50" s="128">
        <f t="shared" si="9"/>
        <v>3086228.0578947384</v>
      </c>
      <c r="G50" s="454">
        <f t="shared" si="10"/>
        <v>1.1180382101842292E-2</v>
      </c>
      <c r="H50" s="1176"/>
      <c r="I50" s="182"/>
      <c r="J50" s="335"/>
      <c r="L50" s="457">
        <v>44</v>
      </c>
      <c r="M50" s="450" t="s">
        <v>837</v>
      </c>
      <c r="N50" s="450">
        <v>4419709.45</v>
      </c>
      <c r="O50" s="451">
        <v>3649055.79</v>
      </c>
      <c r="P50" s="452">
        <f t="shared" si="4"/>
        <v>0.82563250622730411</v>
      </c>
      <c r="Q50" s="450">
        <v>4293006.82</v>
      </c>
      <c r="R50" s="466" t="s">
        <v>724</v>
      </c>
      <c r="S50" s="55"/>
      <c r="T50" s="449">
        <v>44</v>
      </c>
      <c r="U50" s="430" t="s">
        <v>838</v>
      </c>
      <c r="V50" s="450">
        <v>483381.58</v>
      </c>
      <c r="W50" s="450">
        <f>163081.83+182948.87</f>
        <v>346030.69999999995</v>
      </c>
      <c r="X50" s="452">
        <f t="shared" si="5"/>
        <v>0.71585412915403179</v>
      </c>
      <c r="Y50" s="450">
        <f>191861+215233.98</f>
        <v>407094.98</v>
      </c>
    </row>
    <row r="51" spans="2:25" ht="15" customHeight="1" x14ac:dyDescent="0.25">
      <c r="B51" s="439">
        <v>3</v>
      </c>
      <c r="C51" s="1472" t="s">
        <v>89</v>
      </c>
      <c r="D51" s="1473"/>
      <c r="E51" s="465">
        <v>24633175.419999987</v>
      </c>
      <c r="F51" s="128">
        <f t="shared" si="9"/>
        <v>3241207.2921052617</v>
      </c>
      <c r="G51" s="454">
        <f t="shared" si="10"/>
        <v>1.1741820538607246E-2</v>
      </c>
      <c r="H51" s="492"/>
      <c r="I51" s="182"/>
      <c r="J51" s="335"/>
      <c r="L51" s="449">
        <v>45</v>
      </c>
      <c r="M51" s="450" t="s">
        <v>839</v>
      </c>
      <c r="N51" s="450">
        <v>3118319.35</v>
      </c>
      <c r="O51" s="451">
        <v>2970036.8200000003</v>
      </c>
      <c r="P51" s="452">
        <f t="shared" si="4"/>
        <v>0.95244793321120247</v>
      </c>
      <c r="Q51" s="450">
        <v>3494160.95</v>
      </c>
      <c r="R51" s="466" t="s">
        <v>724</v>
      </c>
      <c r="S51" s="55"/>
      <c r="T51" s="449">
        <v>45</v>
      </c>
      <c r="U51" s="430" t="s">
        <v>840</v>
      </c>
      <c r="V51" s="450">
        <v>479239.11</v>
      </c>
      <c r="W51" s="450">
        <f>21014.09+41543.67+77163.99+72384.53</f>
        <v>212106.28</v>
      </c>
      <c r="X51" s="452">
        <f t="shared" si="5"/>
        <v>0.44258967094734819</v>
      </c>
      <c r="Y51" s="450">
        <f>24722.52+48875+90781.35+85158.45</f>
        <v>249537.32</v>
      </c>
    </row>
    <row r="52" spans="2:25" ht="15" customHeight="1" x14ac:dyDescent="0.25">
      <c r="B52" s="1469" t="s">
        <v>294</v>
      </c>
      <c r="C52" s="1470"/>
      <c r="D52" s="1471"/>
      <c r="E52" s="488">
        <f>SUM(E49:E51)</f>
        <v>97232058.459999993</v>
      </c>
      <c r="F52" s="488">
        <f>SUM(F49:F51)</f>
        <v>12793691.902631577</v>
      </c>
      <c r="G52" s="489">
        <f>SUM(G49:G51)</f>
        <v>4.6347308520757857E-2</v>
      </c>
      <c r="H52" s="492"/>
      <c r="I52" s="182"/>
      <c r="J52" s="326"/>
      <c r="L52" s="449">
        <v>46</v>
      </c>
      <c r="M52" s="450" t="s">
        <v>841</v>
      </c>
      <c r="N52" s="450">
        <v>2461348.94</v>
      </c>
      <c r="O52" s="451">
        <v>1892378.19</v>
      </c>
      <c r="P52" s="452">
        <f t="shared" si="4"/>
        <v>0.76883783491502833</v>
      </c>
      <c r="Q52" s="450">
        <v>2226327.29</v>
      </c>
      <c r="R52" s="466" t="s">
        <v>724</v>
      </c>
      <c r="S52" s="55"/>
      <c r="T52" s="449">
        <v>46</v>
      </c>
      <c r="U52" s="430" t="s">
        <v>842</v>
      </c>
      <c r="V52" s="450">
        <v>500000</v>
      </c>
      <c r="W52" s="450">
        <f>251680.87+126490.32+40708.46</f>
        <v>418879.65</v>
      </c>
      <c r="X52" s="452">
        <f t="shared" si="5"/>
        <v>0.8377593000000001</v>
      </c>
      <c r="Y52" s="450">
        <f>300425.86+150988.69+48592.78</f>
        <v>500007.32999999996</v>
      </c>
    </row>
    <row r="53" spans="2:25" ht="15" customHeight="1" thickBot="1" x14ac:dyDescent="0.3">
      <c r="B53" s="491"/>
      <c r="C53" s="503"/>
      <c r="D53" s="503"/>
      <c r="E53" s="492"/>
      <c r="F53" s="492"/>
      <c r="G53" s="493"/>
      <c r="H53" s="502"/>
      <c r="I53"/>
      <c r="J53" s="326"/>
      <c r="L53" s="443">
        <v>47</v>
      </c>
      <c r="M53" s="445" t="s">
        <v>843</v>
      </c>
      <c r="N53" s="445">
        <v>2049221.57</v>
      </c>
      <c r="O53" s="501">
        <v>1844084.78</v>
      </c>
      <c r="P53" s="447">
        <f t="shared" si="4"/>
        <v>0.89989526120398977</v>
      </c>
      <c r="Q53" s="445">
        <v>2169511.5099999998</v>
      </c>
      <c r="R53" s="448" t="s">
        <v>724</v>
      </c>
      <c r="S53" s="55"/>
      <c r="T53" s="449">
        <v>47</v>
      </c>
      <c r="U53" s="430" t="s">
        <v>844</v>
      </c>
      <c r="V53" s="450">
        <v>462047.28</v>
      </c>
      <c r="W53" s="450">
        <f>128886.29+73068.34+98395.43+131650.53</f>
        <v>432000.58999999997</v>
      </c>
      <c r="X53" s="452">
        <f t="shared" si="5"/>
        <v>0.93497052942287628</v>
      </c>
      <c r="Y53" s="450">
        <f>151630.94+85962.75+115759.34+154882.98</f>
        <v>508236.01</v>
      </c>
    </row>
    <row r="54" spans="2:25" ht="15" customHeight="1" x14ac:dyDescent="0.25">
      <c r="B54" s="432"/>
      <c r="C54" s="504"/>
      <c r="D54" s="504"/>
      <c r="E54" s="1466" t="s">
        <v>849</v>
      </c>
      <c r="F54" s="1474">
        <f>E29+E40+E52</f>
        <v>3966112941.8299999</v>
      </c>
      <c r="G54" s="1474"/>
      <c r="I54"/>
      <c r="J54" s="335"/>
      <c r="L54" s="457">
        <v>48</v>
      </c>
      <c r="M54" s="459" t="s">
        <v>845</v>
      </c>
      <c r="N54" s="459">
        <v>4367828.63</v>
      </c>
      <c r="O54" s="460">
        <v>3935469.55</v>
      </c>
      <c r="P54" s="461">
        <f t="shared" si="4"/>
        <v>0.90101281056898974</v>
      </c>
      <c r="Q54" s="459">
        <v>4629964.1899999995</v>
      </c>
      <c r="R54" s="462" t="s">
        <v>724</v>
      </c>
      <c r="S54" s="55"/>
      <c r="T54" s="449">
        <v>48</v>
      </c>
      <c r="U54" s="430" t="s">
        <v>846</v>
      </c>
      <c r="V54" s="450">
        <v>832488.2</v>
      </c>
      <c r="W54" s="450">
        <f>123855.31+449077.14+158724.29</f>
        <v>731656.74</v>
      </c>
      <c r="X54" s="452">
        <f t="shared" si="5"/>
        <v>0.8788794123448237</v>
      </c>
      <c r="Y54" s="450">
        <f>145712.14+528326.07+186734.47</f>
        <v>860772.67999999993</v>
      </c>
    </row>
    <row r="55" spans="2:25" ht="15" customHeight="1" x14ac:dyDescent="0.25">
      <c r="B55" s="432"/>
      <c r="C55" s="504"/>
      <c r="D55" s="504"/>
      <c r="E55" s="1467"/>
      <c r="F55" s="1475">
        <f>F29+F40+F52</f>
        <v>521856966.03026319</v>
      </c>
      <c r="G55" s="1475"/>
      <c r="I55"/>
      <c r="J55" s="335"/>
      <c r="L55" s="449">
        <v>49</v>
      </c>
      <c r="M55" s="450" t="s">
        <v>847</v>
      </c>
      <c r="N55" s="450">
        <v>2583309.9</v>
      </c>
      <c r="O55" s="451">
        <v>2583309.9</v>
      </c>
      <c r="P55" s="452">
        <f t="shared" si="4"/>
        <v>1</v>
      </c>
      <c r="Q55" s="450">
        <v>3039188.12</v>
      </c>
      <c r="R55" s="466" t="s">
        <v>724</v>
      </c>
      <c r="S55" s="55"/>
      <c r="T55" s="449">
        <v>49</v>
      </c>
      <c r="U55" s="430" t="s">
        <v>848</v>
      </c>
      <c r="V55" s="450">
        <v>479027.45</v>
      </c>
      <c r="W55" s="450">
        <f>119592.35+125342.7+169022.91</f>
        <v>413957.95999999996</v>
      </c>
      <c r="X55" s="452">
        <f t="shared" si="5"/>
        <v>0.86416333761248953</v>
      </c>
      <c r="Y55" s="450">
        <f>140696.9+147462+198850.5</f>
        <v>487009.4</v>
      </c>
    </row>
    <row r="56" spans="2:25" ht="15" customHeight="1" x14ac:dyDescent="0.25">
      <c r="B56" s="432"/>
      <c r="C56" s="504"/>
      <c r="D56" s="504"/>
      <c r="E56" s="1468"/>
      <c r="F56" s="1476">
        <f>F55/$E$2</f>
        <v>1.8905149500541139</v>
      </c>
      <c r="G56" s="1476"/>
      <c r="I56"/>
      <c r="J56" s="335"/>
      <c r="L56" s="449">
        <v>50</v>
      </c>
      <c r="M56" s="450" t="s">
        <v>850</v>
      </c>
      <c r="N56" s="450">
        <v>1334521.25</v>
      </c>
      <c r="O56" s="451">
        <f>174384.56+1018075.14</f>
        <v>1192459.7</v>
      </c>
      <c r="P56" s="452">
        <f t="shared" si="4"/>
        <v>0.89354867897382673</v>
      </c>
      <c r="Q56" s="450">
        <f>205158.3+1197735.46</f>
        <v>1402893.76</v>
      </c>
      <c r="R56" s="466" t="s">
        <v>724</v>
      </c>
      <c r="S56" s="55"/>
      <c r="T56" s="449">
        <v>50</v>
      </c>
      <c r="U56" s="430" t="s">
        <v>851</v>
      </c>
      <c r="V56" s="450">
        <v>2325521.7799999998</v>
      </c>
      <c r="W56" s="450">
        <f>304421.12+703171.57+623107.89</f>
        <v>1630700.58</v>
      </c>
      <c r="X56" s="452">
        <f t="shared" si="5"/>
        <v>0.70121922487434207</v>
      </c>
      <c r="Y56" s="450">
        <f>358142.5+827260.68+733075.29</f>
        <v>1918478.4700000002</v>
      </c>
    </row>
    <row r="57" spans="2:25" ht="15" customHeight="1" x14ac:dyDescent="0.25">
      <c r="B57" s="432"/>
      <c r="I57"/>
      <c r="J57" s="326"/>
      <c r="L57" s="449">
        <v>51</v>
      </c>
      <c r="M57" s="450" t="s">
        <v>852</v>
      </c>
      <c r="N57" s="450">
        <v>3489043.95</v>
      </c>
      <c r="O57" s="451">
        <f>3187950.29+70873</f>
        <v>3258823.29</v>
      </c>
      <c r="P57" s="452">
        <f t="shared" si="4"/>
        <v>0.93401611922945249</v>
      </c>
      <c r="Q57" s="450">
        <f>3750529.75+83380</f>
        <v>3833909.75</v>
      </c>
      <c r="R57" s="466" t="s">
        <v>724</v>
      </c>
      <c r="S57" s="181"/>
      <c r="T57" s="449">
        <v>51</v>
      </c>
      <c r="U57" s="430" t="s">
        <v>853</v>
      </c>
      <c r="V57" s="450">
        <v>499983.09</v>
      </c>
      <c r="W57" s="450">
        <f>179351.93+37820.3+184894.48+18699.3</f>
        <v>420766.00999999995</v>
      </c>
      <c r="X57" s="452">
        <f t="shared" si="5"/>
        <v>0.8415604815754868</v>
      </c>
      <c r="Y57" s="450">
        <f>230192.96+48541.25+237306.65+24000</f>
        <v>540040.86</v>
      </c>
    </row>
    <row r="58" spans="2:25" ht="15" customHeight="1" x14ac:dyDescent="0.25">
      <c r="B58" s="1456" t="s">
        <v>858</v>
      </c>
      <c r="C58" s="1457"/>
      <c r="D58" s="1457"/>
      <c r="E58" s="1457"/>
      <c r="F58" s="1457"/>
      <c r="G58" s="1462"/>
      <c r="I58" s="505"/>
      <c r="J58" s="335"/>
      <c r="L58" s="449">
        <v>52</v>
      </c>
      <c r="M58" s="450" t="s">
        <v>854</v>
      </c>
      <c r="N58" s="450">
        <v>1690788.97</v>
      </c>
      <c r="O58" s="451">
        <f>1674669.84+9765.36</f>
        <v>1684435.2000000002</v>
      </c>
      <c r="P58" s="452">
        <f t="shared" si="4"/>
        <v>0.99624212712956139</v>
      </c>
      <c r="Q58" s="450">
        <f>1970199.83+11488.66</f>
        <v>1981688.49</v>
      </c>
      <c r="R58" s="466" t="s">
        <v>724</v>
      </c>
      <c r="S58" s="55"/>
      <c r="T58" s="449">
        <v>52</v>
      </c>
      <c r="U58" s="430" t="s">
        <v>855</v>
      </c>
      <c r="V58" s="450">
        <v>452499.6</v>
      </c>
      <c r="W58" s="450">
        <f>154692.55+226118.05</f>
        <v>380810.6</v>
      </c>
      <c r="X58" s="452">
        <f t="shared" si="5"/>
        <v>0.84157113067061273</v>
      </c>
      <c r="Y58" s="450">
        <f>181991.25+266021.24</f>
        <v>448012.49</v>
      </c>
    </row>
    <row r="59" spans="2:25" ht="15" customHeight="1" x14ac:dyDescent="0.25">
      <c r="B59" s="1463"/>
      <c r="C59" s="1464"/>
      <c r="D59" s="1464"/>
      <c r="E59" s="1464"/>
      <c r="F59" s="1464"/>
      <c r="G59" s="1465"/>
      <c r="I59" s="505"/>
      <c r="J59" s="335"/>
      <c r="L59" s="449">
        <v>53</v>
      </c>
      <c r="M59" s="450" t="s">
        <v>856</v>
      </c>
      <c r="N59" s="450">
        <v>1909988.56</v>
      </c>
      <c r="O59" s="451">
        <f>1842114.36+21387.69</f>
        <v>1863502.05</v>
      </c>
      <c r="P59" s="452">
        <f t="shared" si="4"/>
        <v>0.97566136731206388</v>
      </c>
      <c r="Q59" s="450">
        <f>2167193.38+25161.99</f>
        <v>2192355.37</v>
      </c>
      <c r="R59" s="466" t="s">
        <v>724</v>
      </c>
      <c r="S59" s="55"/>
      <c r="T59" s="449">
        <v>53</v>
      </c>
      <c r="U59" s="430" t="s">
        <v>857</v>
      </c>
      <c r="V59" s="450">
        <v>496237.25</v>
      </c>
      <c r="W59" s="450">
        <f>190251.24+55692.21+237122.16</f>
        <v>483065.61</v>
      </c>
      <c r="X59" s="452">
        <f t="shared" si="5"/>
        <v>0.97345697043097834</v>
      </c>
      <c r="Y59" s="450">
        <f>223825+65520.25+278967.25</f>
        <v>568312.5</v>
      </c>
    </row>
    <row r="60" spans="2:25" ht="15" customHeight="1" x14ac:dyDescent="0.25">
      <c r="B60" s="439"/>
      <c r="C60" s="1458"/>
      <c r="D60" s="1459"/>
      <c r="E60" s="128"/>
      <c r="F60" s="128"/>
      <c r="G60" s="454"/>
      <c r="I60" s="505"/>
      <c r="J60" s="335"/>
      <c r="L60" s="449">
        <v>54</v>
      </c>
      <c r="M60" s="450" t="s">
        <v>859</v>
      </c>
      <c r="N60" s="450">
        <v>2482523.9900000002</v>
      </c>
      <c r="O60" s="451">
        <f>2308428.72+80962.46</f>
        <v>2389391.1800000002</v>
      </c>
      <c r="P60" s="452">
        <f t="shared" si="4"/>
        <v>0.9624846283962798</v>
      </c>
      <c r="Q60" s="450">
        <f>2715798.49+95249.96</f>
        <v>2811048.45</v>
      </c>
      <c r="R60" s="466" t="s">
        <v>724</v>
      </c>
      <c r="S60" s="55"/>
      <c r="T60" s="449">
        <v>54</v>
      </c>
      <c r="U60" s="430" t="s">
        <v>860</v>
      </c>
      <c r="V60" s="450">
        <v>435162.58</v>
      </c>
      <c r="W60" s="450">
        <f>212996.61+64267.01+125282.57</f>
        <v>402546.19</v>
      </c>
      <c r="X60" s="452">
        <f t="shared" si="5"/>
        <v>0.92504780627047478</v>
      </c>
      <c r="Y60" s="450">
        <f>250584.26+75608.25+147391.26</f>
        <v>473583.77</v>
      </c>
    </row>
    <row r="61" spans="2:25" ht="15" customHeight="1" x14ac:dyDescent="0.25">
      <c r="B61" s="1469" t="s">
        <v>294</v>
      </c>
      <c r="C61" s="1470"/>
      <c r="D61" s="1471"/>
      <c r="E61" s="488"/>
      <c r="F61" s="488"/>
      <c r="G61" s="488"/>
      <c r="I61" s="505"/>
      <c r="J61" s="326"/>
      <c r="L61" s="449">
        <v>55</v>
      </c>
      <c r="M61" s="450" t="s">
        <v>861</v>
      </c>
      <c r="N61" s="450">
        <v>2451917.88</v>
      </c>
      <c r="O61" s="451">
        <f>1893813.19+402721.48</f>
        <v>2296534.67</v>
      </c>
      <c r="P61" s="452">
        <f t="shared" si="4"/>
        <v>0.93662788983781142</v>
      </c>
      <c r="Q61" s="450">
        <f>2228015.54+473789.98</f>
        <v>2701805.52</v>
      </c>
      <c r="R61" s="466" t="s">
        <v>724</v>
      </c>
      <c r="S61" s="55"/>
      <c r="T61" s="449">
        <v>55</v>
      </c>
      <c r="U61" s="430" t="s">
        <v>862</v>
      </c>
      <c r="V61" s="450">
        <v>1009636.5</v>
      </c>
      <c r="W61" s="450">
        <f>284970.82+163157.11+297209.11+150278.31</f>
        <v>895615.35000000009</v>
      </c>
      <c r="X61" s="452">
        <f t="shared" si="5"/>
        <v>0.88706712762464524</v>
      </c>
      <c r="Y61" s="450">
        <f>335259.8+191949.54+349657.79+176798.01</f>
        <v>1053665.1399999999</v>
      </c>
    </row>
    <row r="62" spans="2:25" ht="15" customHeight="1" x14ac:dyDescent="0.25">
      <c r="B62"/>
      <c r="I62" s="505"/>
      <c r="J62" s="182"/>
      <c r="L62" s="449">
        <v>56</v>
      </c>
      <c r="M62" s="450" t="s">
        <v>864</v>
      </c>
      <c r="N62" s="450">
        <v>2757311.04</v>
      </c>
      <c r="O62" s="451">
        <f>1305868+695981.14</f>
        <v>2001849.1400000001</v>
      </c>
      <c r="P62" s="452">
        <f t="shared" si="4"/>
        <v>0.72601498741324455</v>
      </c>
      <c r="Q62" s="450">
        <f>1536315.3+818801.34</f>
        <v>2355116.64</v>
      </c>
      <c r="R62" s="466" t="s">
        <v>724</v>
      </c>
      <c r="S62" s="55"/>
      <c r="T62" s="449">
        <v>56</v>
      </c>
      <c r="U62" s="430" t="s">
        <v>865</v>
      </c>
      <c r="V62" s="450">
        <v>495756.93</v>
      </c>
      <c r="W62" s="450">
        <f>36459.35+132008.16+31522.25+282172.48</f>
        <v>482162.24</v>
      </c>
      <c r="X62" s="452">
        <f t="shared" si="5"/>
        <v>0.97257791232489677</v>
      </c>
      <c r="Y62" s="450">
        <f>42893.36+155303.74+37085+331967.65</f>
        <v>567249.75</v>
      </c>
    </row>
    <row r="63" spans="2:25" ht="15" customHeight="1" x14ac:dyDescent="0.25">
      <c r="E63" s="1308" t="s">
        <v>714</v>
      </c>
      <c r="F63" s="1308" t="s">
        <v>715</v>
      </c>
      <c r="G63" s="1308" t="s">
        <v>870</v>
      </c>
      <c r="H63" s="1308" t="s">
        <v>717</v>
      </c>
      <c r="I63" s="505"/>
      <c r="J63" s="341"/>
      <c r="L63" s="449">
        <v>57</v>
      </c>
      <c r="M63" s="450" t="s">
        <v>866</v>
      </c>
      <c r="N63" s="450">
        <v>1062269.7</v>
      </c>
      <c r="O63" s="451">
        <f>776357.87+19950</f>
        <v>796307.87</v>
      </c>
      <c r="P63" s="452">
        <f t="shared" si="4"/>
        <v>0.74962871481696225</v>
      </c>
      <c r="Q63" s="450">
        <f>924235.53+23750</f>
        <v>947985.53</v>
      </c>
      <c r="R63" s="466" t="s">
        <v>724</v>
      </c>
      <c r="S63" s="55"/>
      <c r="T63" s="449">
        <v>57</v>
      </c>
      <c r="U63" s="430" t="s">
        <v>867</v>
      </c>
      <c r="V63" s="450">
        <v>493727.12</v>
      </c>
      <c r="W63" s="450">
        <f>166100.84+144612.62+178362.74</f>
        <v>489076.19999999995</v>
      </c>
      <c r="X63" s="452">
        <f t="shared" si="5"/>
        <v>0.99057997867323955</v>
      </c>
      <c r="Y63" s="450">
        <f>195412.76+170132.5+209838.52</f>
        <v>575383.78</v>
      </c>
    </row>
    <row r="64" spans="2:25" ht="15" customHeight="1" x14ac:dyDescent="0.25">
      <c r="B64" s="55"/>
      <c r="C64" s="55"/>
      <c r="D64" s="55"/>
      <c r="E64" s="1309"/>
      <c r="F64" s="1309"/>
      <c r="G64" s="1309"/>
      <c r="H64" s="1309"/>
      <c r="J64" s="335"/>
      <c r="L64" s="457">
        <v>58</v>
      </c>
      <c r="M64" s="450" t="s">
        <v>868</v>
      </c>
      <c r="N64" s="450">
        <v>1899395.65</v>
      </c>
      <c r="O64" s="451">
        <v>1841802.1</v>
      </c>
      <c r="P64" s="452">
        <f t="shared" si="4"/>
        <v>0.96967796046073929</v>
      </c>
      <c r="Q64" s="450">
        <v>2166826.0099999998</v>
      </c>
      <c r="R64" s="466" t="s">
        <v>724</v>
      </c>
      <c r="S64" s="55"/>
      <c r="T64" s="449">
        <v>58</v>
      </c>
      <c r="U64" s="430" t="s">
        <v>869</v>
      </c>
      <c r="V64" s="450">
        <v>499981.62</v>
      </c>
      <c r="W64" s="450">
        <f>201201.79+25500+59860.61+2496.88</f>
        <v>289059.28000000003</v>
      </c>
      <c r="X64" s="452">
        <f t="shared" si="5"/>
        <v>0.57813981241950463</v>
      </c>
      <c r="Y64" s="450">
        <f>236708+30000+70424.25+2937.5</f>
        <v>340069.75</v>
      </c>
    </row>
    <row r="65" spans="2:25" ht="15" customHeight="1" x14ac:dyDescent="0.25">
      <c r="B65"/>
      <c r="H65"/>
      <c r="J65" s="335"/>
      <c r="L65" s="449">
        <v>59</v>
      </c>
      <c r="M65" s="450" t="s">
        <v>871</v>
      </c>
      <c r="N65" s="450">
        <v>1388729.48</v>
      </c>
      <c r="O65" s="451">
        <f>111717.4+68106.25+1133301.54</f>
        <v>1313125.19</v>
      </c>
      <c r="P65" s="452">
        <f t="shared" si="4"/>
        <v>0.94555866272817946</v>
      </c>
      <c r="Q65" s="450">
        <f>131432.24+80125+1333295.93</f>
        <v>1544853.17</v>
      </c>
      <c r="R65" s="466" t="s">
        <v>724</v>
      </c>
      <c r="S65" s="55"/>
      <c r="T65" s="449">
        <v>59</v>
      </c>
      <c r="U65" s="430" t="s">
        <v>872</v>
      </c>
      <c r="V65" s="450">
        <v>475982.16</v>
      </c>
      <c r="W65" s="450">
        <f>7026.63+52655.7+219803.62+12222.26</f>
        <v>291708.21000000002</v>
      </c>
      <c r="X65" s="452">
        <f t="shared" si="5"/>
        <v>0.61285534314983581</v>
      </c>
      <c r="Y65" s="450">
        <f>8266.63+61947.88+258592.5+14379.13</f>
        <v>343186.14</v>
      </c>
    </row>
    <row r="66" spans="2:25" ht="15" customHeight="1" x14ac:dyDescent="0.25">
      <c r="B66" s="1319" t="s">
        <v>877</v>
      </c>
      <c r="C66" s="1296"/>
      <c r="D66" s="1296"/>
      <c r="E66" s="1296"/>
      <c r="F66" s="1296"/>
      <c r="G66" s="1296"/>
      <c r="H66" s="1297"/>
      <c r="J66" s="335"/>
      <c r="L66" s="449">
        <v>60</v>
      </c>
      <c r="M66" s="450" t="s">
        <v>873</v>
      </c>
      <c r="N66" s="450">
        <v>1090836</v>
      </c>
      <c r="O66" s="451">
        <f>1053648.51+24755.21</f>
        <v>1078403.72</v>
      </c>
      <c r="P66" s="452">
        <f t="shared" si="4"/>
        <v>0.9886029797329754</v>
      </c>
      <c r="Q66" s="450">
        <f>1239586.7+29123.78</f>
        <v>1268710.48</v>
      </c>
      <c r="R66" s="466" t="s">
        <v>724</v>
      </c>
      <c r="S66" s="55"/>
      <c r="T66" s="449">
        <v>60</v>
      </c>
      <c r="U66" s="430" t="s">
        <v>874</v>
      </c>
      <c r="V66" s="450">
        <v>428430.76</v>
      </c>
      <c r="W66" s="450">
        <f>46749.95+1062.49+205483.04+80265.38</f>
        <v>333560.86</v>
      </c>
      <c r="X66" s="452">
        <f t="shared" si="5"/>
        <v>0.77856421887167948</v>
      </c>
      <c r="Y66" s="450">
        <f>55000+1250+241745+94430</f>
        <v>392425</v>
      </c>
    </row>
    <row r="67" spans="2:25" ht="15" customHeight="1" x14ac:dyDescent="0.25">
      <c r="B67" s="1298"/>
      <c r="C67" s="1299"/>
      <c r="D67" s="1299"/>
      <c r="E67" s="1299"/>
      <c r="F67" s="1299"/>
      <c r="G67" s="1299"/>
      <c r="H67" s="1300"/>
      <c r="J67" s="326"/>
      <c r="L67" s="449">
        <v>61</v>
      </c>
      <c r="M67" s="450" t="s">
        <v>875</v>
      </c>
      <c r="N67" s="450">
        <v>1796426.34</v>
      </c>
      <c r="O67" s="451">
        <f>429511.7+1098619.48</f>
        <v>1528131.18</v>
      </c>
      <c r="P67" s="452">
        <f t="shared" si="4"/>
        <v>0.85065062005269854</v>
      </c>
      <c r="Q67" s="450">
        <f>505307.88+1292493.51</f>
        <v>1797801.3900000001</v>
      </c>
      <c r="R67" s="466" t="s">
        <v>724</v>
      </c>
      <c r="S67" s="55"/>
      <c r="T67" s="449">
        <v>61</v>
      </c>
      <c r="U67" s="430" t="s">
        <v>876</v>
      </c>
      <c r="V67" s="450">
        <v>263193.57</v>
      </c>
      <c r="W67" s="450">
        <f>127897.16+31874.99+35487.5+49295.75</f>
        <v>244555.4</v>
      </c>
      <c r="X67" s="452">
        <f t="shared" si="5"/>
        <v>0.92918455416672974</v>
      </c>
      <c r="Y67" s="450">
        <f>150467.25+37500+41750+57995</f>
        <v>287712.25</v>
      </c>
    </row>
    <row r="68" spans="2:25" ht="15" customHeight="1" x14ac:dyDescent="0.25">
      <c r="B68" s="439">
        <v>1</v>
      </c>
      <c r="C68" s="1301" t="s">
        <v>882</v>
      </c>
      <c r="D68" s="1302"/>
      <c r="E68" s="128">
        <v>25499999.989999998</v>
      </c>
      <c r="F68" s="128">
        <f>395887.49+189046.38+87975+175950+131962.5+131962.5+347683.68+441714.8+131962.5+1008389.7+131962.5+21871.33+559295.64+2958098.16+149812.5</f>
        <v>6863574.6799999997</v>
      </c>
      <c r="G68" s="454">
        <f>F68/E68</f>
        <v>0.26915979147810187</v>
      </c>
      <c r="H68" s="98">
        <f>791657.5+207000+155250+155250+409039.63+519664.47+155250+1186340.82+155250+25730.97+657994.88+3480115.48</f>
        <v>7898543.75</v>
      </c>
      <c r="J68" s="326"/>
      <c r="L68" s="449">
        <v>62</v>
      </c>
      <c r="M68" s="450" t="s">
        <v>878</v>
      </c>
      <c r="N68" s="450">
        <v>3843460.17</v>
      </c>
      <c r="O68" s="451">
        <f>2971225.95+50256.25+26137.5</f>
        <v>3047619.7</v>
      </c>
      <c r="P68" s="452">
        <f t="shared" si="4"/>
        <v>0.79293645964854642</v>
      </c>
      <c r="Q68" s="450">
        <f>3495559.95+59125+30750</f>
        <v>3585434.95</v>
      </c>
      <c r="R68" s="466" t="s">
        <v>724</v>
      </c>
      <c r="S68" s="55"/>
      <c r="T68" s="449">
        <v>62</v>
      </c>
      <c r="U68" s="430" t="s">
        <v>879</v>
      </c>
      <c r="V68" s="450">
        <v>353689.35</v>
      </c>
      <c r="W68" s="450">
        <f>144987.81+46332.17+24035.73+81392.13</f>
        <v>296747.83999999997</v>
      </c>
      <c r="X68" s="452">
        <f t="shared" si="5"/>
        <v>0.83900699865574124</v>
      </c>
      <c r="Y68" s="450">
        <f>170573.9+54508.44+28277.33+95755.44</f>
        <v>349115.11</v>
      </c>
    </row>
    <row r="69" spans="2:25" ht="15" customHeight="1" x14ac:dyDescent="0.25">
      <c r="B69" s="439">
        <v>2</v>
      </c>
      <c r="C69" s="1301" t="s">
        <v>885</v>
      </c>
      <c r="D69" s="1302"/>
      <c r="E69" s="128">
        <v>12750000</v>
      </c>
      <c r="F69" s="128">
        <f>715765.42+267962.5+131962.5+87975+131962.5+87975</f>
        <v>1423602.92</v>
      </c>
      <c r="G69" s="454">
        <f>F69/E69</f>
        <v>0.11165513098039215</v>
      </c>
      <c r="H69" s="98">
        <f>842076.97+315250+155250+103500+155250+103500</f>
        <v>1674826.97</v>
      </c>
      <c r="J69" s="335"/>
      <c r="L69" s="449">
        <v>63</v>
      </c>
      <c r="M69" s="450" t="s">
        <v>880</v>
      </c>
      <c r="N69" s="450">
        <v>3252344</v>
      </c>
      <c r="O69" s="451">
        <f>3146318.99+49788.75+37867.5</f>
        <v>3233975.24</v>
      </c>
      <c r="P69" s="452">
        <f t="shared" si="4"/>
        <v>0.99435214725133636</v>
      </c>
      <c r="Q69" s="450">
        <f>3701551.82+58575+44550</f>
        <v>3804676.82</v>
      </c>
      <c r="R69" s="466" t="s">
        <v>724</v>
      </c>
      <c r="S69" s="55"/>
      <c r="T69" s="449">
        <v>63</v>
      </c>
      <c r="U69" s="430" t="s">
        <v>881</v>
      </c>
      <c r="V69" s="450">
        <v>401095.84</v>
      </c>
      <c r="W69" s="450">
        <f>202003.54+136729.62+46532.11</f>
        <v>385265.27</v>
      </c>
      <c r="X69" s="452">
        <f t="shared" si="5"/>
        <v>0.9605317023482467</v>
      </c>
      <c r="Y69" s="450">
        <f>237651.25+160858.39+54743.67</f>
        <v>453253.31</v>
      </c>
    </row>
    <row r="70" spans="2:25" ht="15" customHeight="1" x14ac:dyDescent="0.25">
      <c r="B70" s="439">
        <v>3</v>
      </c>
      <c r="C70" s="1301" t="s">
        <v>888</v>
      </c>
      <c r="D70" s="1302"/>
      <c r="E70" s="128">
        <v>12750000</v>
      </c>
      <c r="F70" s="128">
        <f>763917.93+131962.5+131962.5+131962.5+1096245+175950</f>
        <v>2432000.4300000002</v>
      </c>
      <c r="G70" s="454">
        <f>F70/E70</f>
        <v>0.19074513176470589</v>
      </c>
      <c r="H70" s="98">
        <f>898726.98+155250+155250+155250+1289700+207000</f>
        <v>2861176.98</v>
      </c>
      <c r="J70" s="335"/>
      <c r="L70" s="449">
        <v>64</v>
      </c>
      <c r="M70" s="450" t="s">
        <v>883</v>
      </c>
      <c r="N70" s="450">
        <v>1485028.62</v>
      </c>
      <c r="O70" s="451">
        <f>1126783.88+236335.99+50299.01</f>
        <v>1413418.88</v>
      </c>
      <c r="P70" s="452">
        <f t="shared" si="4"/>
        <v>0.95177888221440454</v>
      </c>
      <c r="Q70" s="450">
        <f>1325628.09+278042.35+59175.31</f>
        <v>1662845.75</v>
      </c>
      <c r="R70" s="466" t="s">
        <v>724</v>
      </c>
      <c r="S70" s="55"/>
      <c r="T70" s="449">
        <v>64</v>
      </c>
      <c r="U70" s="430" t="s">
        <v>884</v>
      </c>
      <c r="V70" s="450">
        <v>465244.71</v>
      </c>
      <c r="W70" s="450">
        <f>165690.26+176584.7+33293.88</f>
        <v>375568.84</v>
      </c>
      <c r="X70" s="452">
        <f t="shared" si="5"/>
        <v>0.80725010285447418</v>
      </c>
      <c r="Y70" s="450">
        <f>194929.73+207746.7+39169.27</f>
        <v>441845.70000000007</v>
      </c>
    </row>
    <row r="71" spans="2:25" ht="15" customHeight="1" x14ac:dyDescent="0.25">
      <c r="B71" s="485" t="s">
        <v>891</v>
      </c>
      <c r="C71" s="506"/>
      <c r="D71" s="486"/>
      <c r="E71" s="488">
        <f>SUM(E68:E70)</f>
        <v>50999999.989999995</v>
      </c>
      <c r="F71" s="488">
        <f>SUM(F68:F70)</f>
        <v>10719178.029999999</v>
      </c>
      <c r="G71" s="489">
        <f>F71/E71</f>
        <v>0.21017996141376077</v>
      </c>
      <c r="H71" s="488">
        <f>SUM(H68:H70)</f>
        <v>12434547.700000001</v>
      </c>
      <c r="J71" s="335"/>
      <c r="L71" s="449">
        <v>65</v>
      </c>
      <c r="M71" s="450" t="s">
        <v>886</v>
      </c>
      <c r="N71" s="450">
        <v>3295667</v>
      </c>
      <c r="O71" s="451">
        <f>677104.79+2269542.02</f>
        <v>2946646.81</v>
      </c>
      <c r="P71" s="452">
        <f t="shared" ref="P71:P141" si="11">O71/N71</f>
        <v>0.89409725254402217</v>
      </c>
      <c r="Q71" s="450">
        <f>796593.89+2670049.49</f>
        <v>3466643.3800000004</v>
      </c>
      <c r="R71" s="466" t="s">
        <v>724</v>
      </c>
      <c r="S71" s="55"/>
      <c r="T71" s="449">
        <v>65</v>
      </c>
      <c r="U71" s="430" t="s">
        <v>887</v>
      </c>
      <c r="V71" s="450">
        <v>423334</v>
      </c>
      <c r="W71" s="450">
        <f>45198.75+66573.59+64185.63+21685.62+156386.72</f>
        <v>354030.31</v>
      </c>
      <c r="X71" s="452">
        <f t="shared" si="5"/>
        <v>0.83629075387282859</v>
      </c>
      <c r="Y71" s="450">
        <f>53175+78321.88+75512.5+25512.5+183984.37</f>
        <v>416506.25</v>
      </c>
    </row>
    <row r="72" spans="2:25" ht="15" customHeight="1" x14ac:dyDescent="0.25">
      <c r="B72"/>
      <c r="J72" s="326"/>
      <c r="L72" s="449">
        <v>66</v>
      </c>
      <c r="M72" s="450" t="s">
        <v>889</v>
      </c>
      <c r="N72" s="450">
        <v>1902499.53</v>
      </c>
      <c r="O72" s="451">
        <v>1893198.4</v>
      </c>
      <c r="P72" s="452">
        <f t="shared" si="11"/>
        <v>0.99511109997488401</v>
      </c>
      <c r="Q72" s="450">
        <v>2227292.25</v>
      </c>
      <c r="R72" s="466" t="s">
        <v>724</v>
      </c>
      <c r="S72" s="55"/>
      <c r="T72" s="449">
        <v>66</v>
      </c>
      <c r="U72" s="430" t="s">
        <v>890</v>
      </c>
      <c r="V72" s="450">
        <v>438263.66</v>
      </c>
      <c r="W72" s="450">
        <f>34018.6+70624.38+30113.91+69910.41+179682.64+11301.5</f>
        <v>395651.44000000006</v>
      </c>
      <c r="X72" s="452">
        <f t="shared" si="5"/>
        <v>0.90277035517843318</v>
      </c>
      <c r="Y72" s="450">
        <f>40021.89+83087.51+35428.13+82247.54+211391.34+13295.88</f>
        <v>465472.29000000004</v>
      </c>
    </row>
    <row r="73" spans="2:25" ht="15" customHeight="1" x14ac:dyDescent="0.25">
      <c r="B73" s="430"/>
      <c r="C73" s="431" t="s">
        <v>707</v>
      </c>
      <c r="D73" s="431"/>
      <c r="J73" s="326"/>
      <c r="L73" s="449">
        <v>67</v>
      </c>
      <c r="M73" s="450" t="s">
        <v>892</v>
      </c>
      <c r="N73" s="450">
        <v>1968204</v>
      </c>
      <c r="O73" s="451">
        <f>1774989.71+181917.94</f>
        <v>1956907.65</v>
      </c>
      <c r="P73" s="452">
        <f t="shared" si="11"/>
        <v>0.99426057969600712</v>
      </c>
      <c r="Q73" s="450">
        <f>2088223.32+214021.12</f>
        <v>2302244.44</v>
      </c>
      <c r="R73" s="466" t="s">
        <v>724</v>
      </c>
      <c r="S73" s="55"/>
      <c r="T73" s="449">
        <v>67</v>
      </c>
      <c r="U73" s="430" t="s">
        <v>893</v>
      </c>
      <c r="V73" s="450">
        <v>368347.5</v>
      </c>
      <c r="W73" s="450">
        <f>120675.35+114062.77+19390.63+110659.37</f>
        <v>364788.12</v>
      </c>
      <c r="X73" s="452">
        <f t="shared" si="5"/>
        <v>0.99033689654470303</v>
      </c>
      <c r="Y73" s="450">
        <f>141971+134191.5+22812.5+130187.5</f>
        <v>429162.5</v>
      </c>
    </row>
    <row r="74" spans="2:25" ht="15" customHeight="1" x14ac:dyDescent="0.25">
      <c r="H74"/>
      <c r="J74" s="335"/>
      <c r="L74" s="449">
        <v>68</v>
      </c>
      <c r="M74" s="450" t="s">
        <v>894</v>
      </c>
      <c r="N74" s="450">
        <v>3315333.31</v>
      </c>
      <c r="O74" s="451">
        <f>374434.95+2009085.36+589572.89</f>
        <v>2973093.2</v>
      </c>
      <c r="P74" s="452">
        <f t="shared" si="11"/>
        <v>0.89677052712386263</v>
      </c>
      <c r="Q74" s="450">
        <f>440511.71+2363629.84+693615.15</f>
        <v>3497756.6999999997</v>
      </c>
      <c r="R74" s="466" t="s">
        <v>724</v>
      </c>
      <c r="S74" s="55"/>
      <c r="T74" s="449">
        <v>68</v>
      </c>
      <c r="U74" s="430" t="s">
        <v>895</v>
      </c>
      <c r="V74" s="450">
        <v>418620.15999999997</v>
      </c>
      <c r="W74" s="450">
        <f>207490.52+132837.29+19069.97</f>
        <v>359397.78</v>
      </c>
      <c r="X74" s="452">
        <f t="shared" si="5"/>
        <v>0.85852955576721401</v>
      </c>
      <c r="Y74" s="450">
        <f>244106.51+156279.17+22435.26</f>
        <v>422820.94000000006</v>
      </c>
    </row>
    <row r="75" spans="2:25" ht="15" customHeight="1" x14ac:dyDescent="0.25">
      <c r="B75" s="1319" t="s">
        <v>900</v>
      </c>
      <c r="C75" s="1296"/>
      <c r="D75" s="1296"/>
      <c r="E75" s="1296"/>
      <c r="F75" s="1296"/>
      <c r="G75" s="1296"/>
      <c r="H75" s="1296"/>
      <c r="I75" s="1297"/>
      <c r="J75" s="335"/>
      <c r="L75" s="449">
        <v>69</v>
      </c>
      <c r="M75" s="450" t="s">
        <v>896</v>
      </c>
      <c r="N75" s="450">
        <v>2203500</v>
      </c>
      <c r="O75" s="451">
        <f>243716.25+1087618.74+688841.89+179816.86</f>
        <v>2199993.7399999998</v>
      </c>
      <c r="P75" s="452">
        <f t="shared" si="11"/>
        <v>0.99840877694576802</v>
      </c>
      <c r="Q75" s="450">
        <f>286725+1279551.49+810402.25+211549.26</f>
        <v>2588228</v>
      </c>
      <c r="R75" s="466" t="s">
        <v>724</v>
      </c>
      <c r="S75" s="55"/>
      <c r="T75" s="449">
        <v>69</v>
      </c>
      <c r="U75" s="430" t="s">
        <v>897</v>
      </c>
      <c r="V75" s="450">
        <v>1178933</v>
      </c>
      <c r="W75" s="450">
        <f>313679.75+222180.42+155459.2+76851.12+199952.08+28517.72</f>
        <v>996640.29</v>
      </c>
      <c r="X75" s="452">
        <f t="shared" si="5"/>
        <v>0.84537483470222652</v>
      </c>
      <c r="Y75" s="450">
        <f>369035+261388.74+182893.17+90413.08+235237.75+33550.25</f>
        <v>1172517.99</v>
      </c>
    </row>
    <row r="76" spans="2:25" ht="15" customHeight="1" x14ac:dyDescent="0.25">
      <c r="B76" s="1298"/>
      <c r="C76" s="1299"/>
      <c r="D76" s="1299"/>
      <c r="E76" s="1299"/>
      <c r="F76" s="1299"/>
      <c r="G76" s="1299"/>
      <c r="H76" s="1299"/>
      <c r="I76" s="1300"/>
      <c r="J76" s="335"/>
      <c r="L76" s="449">
        <v>70</v>
      </c>
      <c r="M76" s="450" t="s">
        <v>898</v>
      </c>
      <c r="N76" s="450">
        <v>4500000</v>
      </c>
      <c r="O76" s="451">
        <f>492461.05+1258121.57+2588351</f>
        <v>4338933.62</v>
      </c>
      <c r="P76" s="452">
        <f t="shared" si="11"/>
        <v>0.96420747111111116</v>
      </c>
      <c r="Q76" s="450">
        <f>700659.88+1790020.35+3682633.77</f>
        <v>6173314</v>
      </c>
      <c r="R76" s="466" t="s">
        <v>724</v>
      </c>
      <c r="S76" s="55"/>
      <c r="T76" s="449">
        <v>70</v>
      </c>
      <c r="U76" s="430" t="s">
        <v>899</v>
      </c>
      <c r="V76" s="450">
        <v>373806.38</v>
      </c>
      <c r="W76" s="450">
        <f>67715.24+58213.9+48799.56+104942.36+42203.5</f>
        <v>321874.56</v>
      </c>
      <c r="X76" s="452">
        <f t="shared" si="5"/>
        <v>0.8610729436988207</v>
      </c>
      <c r="Y76" s="450">
        <f>79665+68486.95+57411.25+123461.62+49651.18</f>
        <v>378676</v>
      </c>
    </row>
    <row r="77" spans="2:25" ht="15" customHeight="1" x14ac:dyDescent="0.25">
      <c r="B77" s="507"/>
      <c r="C77" s="435" t="s">
        <v>905</v>
      </c>
      <c r="D77" s="508"/>
      <c r="E77" s="434" t="s">
        <v>714</v>
      </c>
      <c r="F77" s="434" t="s">
        <v>715</v>
      </c>
      <c r="G77" s="434" t="s">
        <v>716</v>
      </c>
      <c r="H77" s="434" t="s">
        <v>717</v>
      </c>
      <c r="I77" s="434" t="s">
        <v>718</v>
      </c>
      <c r="J77" s="326"/>
      <c r="L77" s="449">
        <v>71</v>
      </c>
      <c r="M77" s="450" t="s">
        <v>901</v>
      </c>
      <c r="N77" s="450">
        <v>1942411.5</v>
      </c>
      <c r="O77" s="451">
        <f>1355879.96+45538.75</f>
        <v>1401418.71</v>
      </c>
      <c r="P77" s="452">
        <f t="shared" si="11"/>
        <v>0.72148394405613847</v>
      </c>
      <c r="Q77" s="450">
        <f>1595152.9+53575</f>
        <v>1648727.9</v>
      </c>
      <c r="R77" s="466" t="s">
        <v>724</v>
      </c>
      <c r="S77" s="55"/>
      <c r="T77" s="449">
        <v>71</v>
      </c>
      <c r="U77" s="430" t="s">
        <v>902</v>
      </c>
      <c r="V77" s="450">
        <v>498914.71</v>
      </c>
      <c r="W77" s="450">
        <f>83307.48+46713.81+141811.8+170639.11+53696.95</f>
        <v>496169.14999999997</v>
      </c>
      <c r="X77" s="452">
        <f t="shared" si="5"/>
        <v>0.99449693515751414</v>
      </c>
      <c r="Y77" s="450">
        <f>98008.81+54957.42+166837.42+200751.89+63172.89</f>
        <v>583728.43000000005</v>
      </c>
    </row>
    <row r="78" spans="2:25" ht="15" customHeight="1" x14ac:dyDescent="0.25">
      <c r="B78" s="449">
        <v>1</v>
      </c>
      <c r="C78" s="509" t="s">
        <v>908</v>
      </c>
      <c r="D78" s="510"/>
      <c r="E78" s="450">
        <v>2975467.5</v>
      </c>
      <c r="F78" s="451">
        <f>23162.5+111089.69+377618.5+1264413.73+403583.44+169554.18</f>
        <v>2349422.04</v>
      </c>
      <c r="G78" s="452">
        <f t="shared" ref="G78:G101" si="12">F78/E78</f>
        <v>0.78959761449251253</v>
      </c>
      <c r="H78" s="450">
        <f>27250+130693.75+444257.06+1487545.57+474804.05+199475.51</f>
        <v>2764025.9400000004</v>
      </c>
      <c r="I78" s="466" t="s">
        <v>724</v>
      </c>
      <c r="J78" s="182"/>
      <c r="L78" s="457">
        <v>72</v>
      </c>
      <c r="M78" s="450" t="s">
        <v>903</v>
      </c>
      <c r="N78" s="450">
        <v>2894971.22</v>
      </c>
      <c r="O78" s="451">
        <f>202135.15+298386.58+301809.54+775587.08+1284292.51+27447.86</f>
        <v>2889658.72</v>
      </c>
      <c r="P78" s="452">
        <f t="shared" si="11"/>
        <v>0.99816492130792234</v>
      </c>
      <c r="Q78" s="450">
        <f>237806.06+351043.03+355070.05+912455.39+1510932.37+32291.6</f>
        <v>3399598.5000000005</v>
      </c>
      <c r="R78" s="466" t="s">
        <v>724</v>
      </c>
      <c r="S78" s="55"/>
      <c r="T78" s="449">
        <v>72</v>
      </c>
      <c r="U78" s="430" t="s">
        <v>904</v>
      </c>
      <c r="V78" s="450">
        <v>376982.57</v>
      </c>
      <c r="W78" s="450">
        <f>72441.24+187511.87</f>
        <v>259953.11</v>
      </c>
      <c r="X78" s="452">
        <f t="shared" si="5"/>
        <v>0.68956267659801884</v>
      </c>
      <c r="Y78" s="450">
        <f>85225+220602.2</f>
        <v>305827.20000000001</v>
      </c>
    </row>
    <row r="79" spans="2:25" ht="15" customHeight="1" x14ac:dyDescent="0.25">
      <c r="B79" s="449">
        <f t="shared" ref="B79:B82" si="13">1+B78</f>
        <v>2</v>
      </c>
      <c r="C79" s="509" t="s">
        <v>911</v>
      </c>
      <c r="D79" s="510"/>
      <c r="E79" s="450">
        <v>10955578.710000001</v>
      </c>
      <c r="F79" s="451">
        <f>605976.59+172686.49+596714.37+564706.19+283959.71+309155.77+2047948.22+687174.95+1057130.82+523879.14+17342.91</f>
        <v>6866675.1600000001</v>
      </c>
      <c r="G79" s="452">
        <f t="shared" si="12"/>
        <v>0.62677429844324484</v>
      </c>
      <c r="H79" s="450">
        <f>712913.63+203160.58+702016.91+664360.22+334070.25+363712.67+2409350.86+808441.12+1243683.32+616328.4+20403.4</f>
        <v>8078441.3600000003</v>
      </c>
      <c r="I79" s="466" t="s">
        <v>724</v>
      </c>
      <c r="J79" s="341"/>
      <c r="L79" s="449">
        <v>73</v>
      </c>
      <c r="M79" s="450" t="s">
        <v>906</v>
      </c>
      <c r="N79" s="450">
        <v>1924904.01</v>
      </c>
      <c r="O79" s="451">
        <f>1801439+106437</f>
        <v>1907876</v>
      </c>
      <c r="P79" s="452">
        <f t="shared" si="11"/>
        <v>0.9911538394062569</v>
      </c>
      <c r="Q79" s="450">
        <f>2119340+125220</f>
        <v>2244560</v>
      </c>
      <c r="R79" s="466" t="s">
        <v>724</v>
      </c>
      <c r="S79" s="55"/>
      <c r="T79" s="449">
        <v>73</v>
      </c>
      <c r="U79" s="430" t="s">
        <v>907</v>
      </c>
      <c r="V79" s="450">
        <v>325519.40000000002</v>
      </c>
      <c r="W79" s="450">
        <f>141425.12+116497.81+42572.36+20378.75</f>
        <v>320874.03999999998</v>
      </c>
      <c r="X79" s="452">
        <f t="shared" si="5"/>
        <v>0.98572939124365544</v>
      </c>
      <c r="Y79" s="450">
        <f>166382.5+137056.25+50085.13+23975</f>
        <v>377498.88</v>
      </c>
    </row>
    <row r="80" spans="2:25" ht="15" customHeight="1" x14ac:dyDescent="0.25">
      <c r="B80" s="449">
        <f t="shared" si="13"/>
        <v>3</v>
      </c>
      <c r="C80" s="511" t="s">
        <v>914</v>
      </c>
      <c r="D80" s="512"/>
      <c r="E80" s="450">
        <v>1953431.75</v>
      </c>
      <c r="F80" s="451">
        <f>63516.25+49310.2+1166631.04</f>
        <v>1279457.49</v>
      </c>
      <c r="G80" s="452">
        <f t="shared" si="12"/>
        <v>0.65497936644062427</v>
      </c>
      <c r="H80" s="450">
        <f>74725+58012+1372507.1</f>
        <v>1505244.1</v>
      </c>
      <c r="I80" s="466" t="s">
        <v>724</v>
      </c>
      <c r="J80" s="335"/>
      <c r="L80" s="449">
        <v>74</v>
      </c>
      <c r="M80" s="450" t="s">
        <v>909</v>
      </c>
      <c r="N80" s="450">
        <v>3584778.95</v>
      </c>
      <c r="O80" s="451">
        <f>2990515.95+469081.83+116760.86</f>
        <v>3576358.64</v>
      </c>
      <c r="P80" s="452">
        <f t="shared" si="11"/>
        <v>0.99765109366087967</v>
      </c>
      <c r="Q80" s="450">
        <f>3518254.05+551860.98+137365.72</f>
        <v>4207480.75</v>
      </c>
      <c r="R80" s="466" t="s">
        <v>724</v>
      </c>
      <c r="S80" s="55"/>
      <c r="T80" s="449">
        <v>74</v>
      </c>
      <c r="U80" s="430" t="s">
        <v>910</v>
      </c>
      <c r="V80" s="450">
        <v>302965.34999999998</v>
      </c>
      <c r="W80" s="450">
        <f>139755.92+42042.05+47239.89+25859.1+19452.25</f>
        <v>274349.21000000008</v>
      </c>
      <c r="X80" s="452">
        <f t="shared" si="5"/>
        <v>0.90554649236290585</v>
      </c>
      <c r="Y80" s="450">
        <f>164418.77+49461.25+55576.36+30422.48+22885</f>
        <v>322763.86</v>
      </c>
    </row>
    <row r="81" spans="2:25" ht="15" customHeight="1" x14ac:dyDescent="0.25">
      <c r="B81" s="449">
        <f t="shared" si="13"/>
        <v>4</v>
      </c>
      <c r="C81" s="511" t="s">
        <v>917</v>
      </c>
      <c r="D81" s="512"/>
      <c r="E81" s="450">
        <v>12766377.720000001</v>
      </c>
      <c r="F81" s="450">
        <f>12568.95+79948.71+2374493.12+1396383.7+4058475+2392385.36+426444.83</f>
        <v>10740699.67</v>
      </c>
      <c r="G81" s="452">
        <f t="shared" si="12"/>
        <v>0.84132710981702019</v>
      </c>
      <c r="H81" s="450">
        <f>14787+94057.31+2793521.32+1642804.35+4774676.47+2814571.01+501699.8</f>
        <v>12636117.26</v>
      </c>
      <c r="I81" s="466" t="s">
        <v>724</v>
      </c>
      <c r="J81" s="188"/>
      <c r="L81" s="449">
        <v>75</v>
      </c>
      <c r="M81" s="450" t="s">
        <v>912</v>
      </c>
      <c r="N81" s="450">
        <v>4500000</v>
      </c>
      <c r="O81" s="451">
        <f>2197181.48+326457.57+13348.33+1325984.7+80943.25</f>
        <v>3943915.33</v>
      </c>
      <c r="P81" s="452">
        <f t="shared" si="11"/>
        <v>0.87642562888888886</v>
      </c>
      <c r="Q81" s="450">
        <f>3200211.35+475487.91+19441.96+1931306.68+117894.45</f>
        <v>5744342.3500000006</v>
      </c>
      <c r="R81" s="466" t="s">
        <v>724</v>
      </c>
      <c r="S81" s="55"/>
      <c r="T81" s="449">
        <v>75</v>
      </c>
      <c r="U81" s="430" t="s">
        <v>913</v>
      </c>
      <c r="V81" s="450">
        <v>500000</v>
      </c>
      <c r="W81" s="450">
        <f>118614.98+103900.12+96055.04</f>
        <v>318570.13999999996</v>
      </c>
      <c r="X81" s="452">
        <f t="shared" si="5"/>
        <v>0.63714027999999989</v>
      </c>
      <c r="Y81" s="450">
        <f>142860.91+125138.21+115689.52</f>
        <v>383688.64</v>
      </c>
    </row>
    <row r="82" spans="2:25" ht="15" customHeight="1" x14ac:dyDescent="0.25">
      <c r="B82" s="449">
        <f t="shared" si="13"/>
        <v>5</v>
      </c>
      <c r="C82" s="511" t="s">
        <v>920</v>
      </c>
      <c r="D82" s="512"/>
      <c r="E82" s="450">
        <v>2033693.68</v>
      </c>
      <c r="F82" s="450">
        <f>15406.25+3187.5+1377393.64+209813.6</f>
        <v>1605800.99</v>
      </c>
      <c r="G82" s="452">
        <f t="shared" si="12"/>
        <v>0.78959825945862216</v>
      </c>
      <c r="H82" s="450">
        <f>18125+3750+1620463.11+246839.53</f>
        <v>1889177.6400000001</v>
      </c>
      <c r="I82" s="466" t="s">
        <v>724</v>
      </c>
      <c r="J82" s="188"/>
      <c r="L82" s="449">
        <v>76</v>
      </c>
      <c r="M82" s="450" t="s">
        <v>915</v>
      </c>
      <c r="N82" s="450">
        <v>2880011.59</v>
      </c>
      <c r="O82" s="451">
        <f>937444.65+1570482.23+370214.7</f>
        <v>2878141.58</v>
      </c>
      <c r="P82" s="452">
        <f t="shared" si="11"/>
        <v>0.99935069358522977</v>
      </c>
      <c r="Q82" s="450">
        <f>1102876.06+1847626.16+435546.71</f>
        <v>3386048.9299999997</v>
      </c>
      <c r="R82" s="466" t="s">
        <v>724</v>
      </c>
      <c r="S82" s="55"/>
      <c r="T82" s="449">
        <v>76</v>
      </c>
      <c r="U82" s="430" t="s">
        <v>916</v>
      </c>
      <c r="V82" s="450">
        <v>500000</v>
      </c>
      <c r="W82" s="450">
        <f>102213.43+47768.36+238552.02</f>
        <v>388533.80999999994</v>
      </c>
      <c r="X82" s="452">
        <f t="shared" si="5"/>
        <v>0.77706761999999985</v>
      </c>
      <c r="Y82" s="450">
        <f>120374.6+56255.78+280937.66</f>
        <v>457568.04</v>
      </c>
    </row>
    <row r="83" spans="2:25" ht="15" customHeight="1" x14ac:dyDescent="0.25">
      <c r="B83" s="449">
        <v>6</v>
      </c>
      <c r="C83" s="511" t="s">
        <v>923</v>
      </c>
      <c r="D83" s="512"/>
      <c r="E83" s="450">
        <v>7240684.2000000002</v>
      </c>
      <c r="F83" s="450">
        <f>2076535.27+3268269.09+33201</f>
        <v>5378005.3599999994</v>
      </c>
      <c r="G83" s="452">
        <f t="shared" si="12"/>
        <v>0.74274822813015373</v>
      </c>
      <c r="H83" s="450">
        <f>2442982.67+3845022.46+39060</f>
        <v>6327065.1299999999</v>
      </c>
      <c r="I83" s="466" t="s">
        <v>724</v>
      </c>
      <c r="J83" s="20"/>
      <c r="L83" s="449">
        <v>77</v>
      </c>
      <c r="M83" s="450" t="s">
        <v>918</v>
      </c>
      <c r="N83" s="450">
        <v>593698</v>
      </c>
      <c r="O83" s="451">
        <f>274863.32+262444.56+40795.71</f>
        <v>578103.59</v>
      </c>
      <c r="P83" s="452">
        <f t="shared" si="11"/>
        <v>0.97373343012777536</v>
      </c>
      <c r="Q83" s="450">
        <f>323368.91+308758.59+47995</f>
        <v>680122.5</v>
      </c>
      <c r="R83" s="466" t="s">
        <v>724</v>
      </c>
      <c r="S83" s="55"/>
      <c r="T83" s="449">
        <v>77</v>
      </c>
      <c r="U83" s="430" t="s">
        <v>919</v>
      </c>
      <c r="V83" s="450">
        <v>424997.45</v>
      </c>
      <c r="W83" s="450">
        <f>20673.58+75870.47+50381.62+197661.58</f>
        <v>344587.25</v>
      </c>
      <c r="X83" s="452">
        <f t="shared" si="5"/>
        <v>0.81079839420212985</v>
      </c>
      <c r="Y83" s="450">
        <f>24321.86+89259.38+59272.5+232543.03</f>
        <v>405396.77</v>
      </c>
    </row>
    <row r="84" spans="2:25" ht="15" customHeight="1" thickBot="1" x14ac:dyDescent="0.3">
      <c r="B84" s="443">
        <v>7</v>
      </c>
      <c r="C84" s="981" t="s">
        <v>926</v>
      </c>
      <c r="D84" s="982"/>
      <c r="E84" s="445">
        <v>2864035.65</v>
      </c>
      <c r="F84" s="445">
        <f>367329.84+1633910.87+197804.61+98528.94</f>
        <v>2297574.2600000002</v>
      </c>
      <c r="G84" s="447">
        <f t="shared" si="12"/>
        <v>0.80221566376102904</v>
      </c>
      <c r="H84" s="445">
        <f>432152.75+1922248.08+232711.31+115916.4</f>
        <v>2703028.54</v>
      </c>
      <c r="I84" s="448" t="s">
        <v>724</v>
      </c>
      <c r="J84" s="20"/>
      <c r="L84" s="449">
        <v>78</v>
      </c>
      <c r="M84" s="450" t="s">
        <v>921</v>
      </c>
      <c r="N84" s="450">
        <v>781180</v>
      </c>
      <c r="O84" s="451">
        <f>7140+405500.9+56818.87+239243.47</f>
        <v>708703.24</v>
      </c>
      <c r="P84" s="452">
        <f t="shared" si="11"/>
        <v>0.90722143424050794</v>
      </c>
      <c r="Q84" s="450">
        <f>8400+477060.03+66845.75+281463.01</f>
        <v>833768.79</v>
      </c>
      <c r="R84" s="466" t="s">
        <v>724</v>
      </c>
      <c r="S84" s="55"/>
      <c r="T84" s="449">
        <v>78</v>
      </c>
      <c r="U84" s="430" t="s">
        <v>922</v>
      </c>
      <c r="V84" s="450">
        <v>291975</v>
      </c>
      <c r="W84" s="450">
        <f>82000.98+113033+77681.5</f>
        <v>272715.48</v>
      </c>
      <c r="X84" s="452">
        <f t="shared" si="5"/>
        <v>0.93403709221679931</v>
      </c>
      <c r="Y84" s="450">
        <f>96471.75+132980+91390</f>
        <v>320841.75</v>
      </c>
    </row>
    <row r="85" spans="2:25" ht="15" customHeight="1" x14ac:dyDescent="0.25">
      <c r="B85" s="457">
        <v>8</v>
      </c>
      <c r="C85" s="983" t="s">
        <v>929</v>
      </c>
      <c r="D85" s="984"/>
      <c r="E85" s="459">
        <v>6329034.7599999998</v>
      </c>
      <c r="F85" s="459">
        <f>30366.56+23683.28+2324771.44+269234.26+420244.11+598451.97+294405.74+201978.43</f>
        <v>4163135.7900000005</v>
      </c>
      <c r="G85" s="461">
        <f t="shared" si="12"/>
        <v>0.65778368232567597</v>
      </c>
      <c r="H85" s="459">
        <f>35725.36+27862.68+2735025.22+316746.19+494404.84+704061.14+346359.69+237621.68</f>
        <v>4897806.8</v>
      </c>
      <c r="I85" s="462" t="s">
        <v>724</v>
      </c>
      <c r="J85" s="188"/>
      <c r="L85" s="449">
        <v>79</v>
      </c>
      <c r="M85" s="450" t="s">
        <v>924</v>
      </c>
      <c r="N85" s="450">
        <v>2274842.0299999998</v>
      </c>
      <c r="O85" s="451">
        <f>470458.04+1415007.42+196065.79+15183.12</f>
        <v>2096714.37</v>
      </c>
      <c r="P85" s="452">
        <f t="shared" si="11"/>
        <v>0.92169669029721601</v>
      </c>
      <c r="Q85" s="450">
        <f>553480.05+1664714.63+230665.63+17862.5</f>
        <v>2466722.8099999996</v>
      </c>
      <c r="R85" s="466" t="s">
        <v>724</v>
      </c>
      <c r="S85" s="55"/>
      <c r="T85" s="449">
        <v>79</v>
      </c>
      <c r="U85" s="430" t="s">
        <v>925</v>
      </c>
      <c r="V85" s="450">
        <v>254566.5</v>
      </c>
      <c r="W85" s="450">
        <f>57907.1+17226.08+78782.25+90682.1+3400</f>
        <v>247997.53</v>
      </c>
      <c r="X85" s="452">
        <f t="shared" si="5"/>
        <v>0.97419546562489567</v>
      </c>
      <c r="Y85" s="450">
        <f>68126+20265.98+92685+106684.82+4000</f>
        <v>291761.8</v>
      </c>
    </row>
    <row r="86" spans="2:25" ht="15" customHeight="1" thickBot="1" x14ac:dyDescent="0.3">
      <c r="B86" s="449">
        <v>9</v>
      </c>
      <c r="C86" s="509" t="s">
        <v>962</v>
      </c>
      <c r="D86" s="510"/>
      <c r="E86" s="997">
        <v>5219873.07</v>
      </c>
      <c r="F86" s="997">
        <f>439089.87+1314018.56+2747560.3+6799.9</f>
        <v>4507468.6300000008</v>
      </c>
      <c r="G86" s="998">
        <f t="shared" si="12"/>
        <v>0.86352073499748927</v>
      </c>
      <c r="H86" s="997">
        <f>516576.31+1545904.19+3232423.87+7999.9</f>
        <v>5302904.2700000005</v>
      </c>
      <c r="I86" s="999" t="s">
        <v>724</v>
      </c>
      <c r="J86" s="188"/>
      <c r="L86" s="449">
        <v>80</v>
      </c>
      <c r="M86" s="450" t="s">
        <v>927</v>
      </c>
      <c r="N86" s="450">
        <v>3406920</v>
      </c>
      <c r="O86" s="451">
        <f>2771140.04+23270.87+56687.76+637.5</f>
        <v>2851736.17</v>
      </c>
      <c r="P86" s="452">
        <f t="shared" si="11"/>
        <v>0.83704230507320387</v>
      </c>
      <c r="Q86" s="450">
        <f>3260165.43+27377.5+66691.5+750</f>
        <v>3354984.43</v>
      </c>
      <c r="R86" s="466" t="s">
        <v>724</v>
      </c>
      <c r="S86" s="55"/>
      <c r="T86" s="443">
        <v>80</v>
      </c>
      <c r="U86" s="469" t="s">
        <v>928</v>
      </c>
      <c r="V86" s="445">
        <v>558494.01</v>
      </c>
      <c r="W86" s="445">
        <v>245966.17</v>
      </c>
      <c r="X86" s="447">
        <f t="shared" si="5"/>
        <v>0.44040968317636925</v>
      </c>
      <c r="Y86" s="445">
        <v>289372.59999999998</v>
      </c>
    </row>
    <row r="87" spans="2:25" ht="15" customHeight="1" x14ac:dyDescent="0.25">
      <c r="B87" s="449">
        <v>10</v>
      </c>
      <c r="C87" s="509" t="s">
        <v>953</v>
      </c>
      <c r="D87" s="510"/>
      <c r="E87" s="997">
        <v>7604548.3700000001</v>
      </c>
      <c r="F87" s="997">
        <f>31053.93+24026.97+584870.74+1875250.09+1497805.87+1024115.87+351456.04+131306.28</f>
        <v>5519885.79</v>
      </c>
      <c r="G87" s="998">
        <f t="shared" si="12"/>
        <v>0.72586635279696432</v>
      </c>
      <c r="H87" s="997">
        <f>36534.04+28267.02+688083.22+2206176.58+1762124.54+1204842.2+413477.69+154477.98</f>
        <v>6493983.2700000014</v>
      </c>
      <c r="I87" s="999" t="s">
        <v>724</v>
      </c>
      <c r="J87" s="188"/>
      <c r="L87" s="449">
        <v>81</v>
      </c>
      <c r="M87" s="450" t="s">
        <v>930</v>
      </c>
      <c r="N87" s="450">
        <v>2944972</v>
      </c>
      <c r="O87" s="451">
        <f>2358674.81+110947.66+38987.37+3028.12</f>
        <v>2511637.9600000004</v>
      </c>
      <c r="P87" s="452">
        <f t="shared" si="11"/>
        <v>0.85285631238599224</v>
      </c>
      <c r="Q87" s="450">
        <f>2774911.59+130526.66+45867.5+3562.5</f>
        <v>2954868.25</v>
      </c>
      <c r="R87" s="466" t="s">
        <v>724</v>
      </c>
      <c r="S87" s="55"/>
      <c r="T87" s="457">
        <v>81</v>
      </c>
      <c r="U87" s="470" t="s">
        <v>943</v>
      </c>
      <c r="V87" s="459">
        <v>491118.95</v>
      </c>
      <c r="W87" s="459">
        <f>82251.31+163086.83</f>
        <v>245338.13999999998</v>
      </c>
      <c r="X87" s="461">
        <f t="shared" si="5"/>
        <v>0.49954932506676841</v>
      </c>
      <c r="Y87" s="459">
        <f>96766.25+191866.87</f>
        <v>288633.12</v>
      </c>
    </row>
    <row r="88" spans="2:25" ht="15" customHeight="1" x14ac:dyDescent="0.25">
      <c r="B88" s="1168">
        <v>11</v>
      </c>
      <c r="C88" s="509" t="s">
        <v>969</v>
      </c>
      <c r="D88" s="510"/>
      <c r="E88" s="997">
        <v>16192994.060000001</v>
      </c>
      <c r="F88" s="997">
        <f>605.63+558153.23+573369.4+5976757.27+1356509.51+770166.06+509241.38</f>
        <v>9744802.4800000004</v>
      </c>
      <c r="G88" s="998">
        <f t="shared" si="12"/>
        <v>0.601791271206086</v>
      </c>
      <c r="H88" s="997">
        <f>712.5+656650.85+674552.23+7031479.14+1595893.55+906077.73+599107.5</f>
        <v>11464473.5</v>
      </c>
      <c r="I88" s="999" t="s">
        <v>724</v>
      </c>
      <c r="J88" s="326"/>
      <c r="L88" s="449">
        <v>82</v>
      </c>
      <c r="M88" s="450" t="s">
        <v>933</v>
      </c>
      <c r="N88" s="450">
        <v>1937064.7</v>
      </c>
      <c r="O88" s="451">
        <f>432906.66+1280497.08+38887.49+19730.62</f>
        <v>1772021.85</v>
      </c>
      <c r="P88" s="452">
        <f t="shared" si="11"/>
        <v>0.91479745100925136</v>
      </c>
      <c r="Q88" s="450">
        <f>509302.04+1506467.39+45750+23212.5</f>
        <v>2084731.93</v>
      </c>
      <c r="R88" s="466" t="s">
        <v>724</v>
      </c>
      <c r="S88" s="55"/>
      <c r="T88" s="449">
        <v>82</v>
      </c>
      <c r="U88" s="430" t="s">
        <v>931</v>
      </c>
      <c r="V88" s="450">
        <v>421743.85</v>
      </c>
      <c r="W88" s="450">
        <f>77676.18+27016.18+75761.16+105690.25</f>
        <v>286143.77</v>
      </c>
      <c r="X88" s="452">
        <f t="shared" si="5"/>
        <v>0.67847763518069093</v>
      </c>
      <c r="Y88" s="450">
        <f>91383.75+31783.75+89130.78+124341.47</f>
        <v>336639.75</v>
      </c>
    </row>
    <row r="89" spans="2:25" ht="15" customHeight="1" x14ac:dyDescent="0.25">
      <c r="B89" s="449">
        <v>12</v>
      </c>
      <c r="C89" s="511" t="s">
        <v>944</v>
      </c>
      <c r="D89" s="512"/>
      <c r="E89" s="450">
        <v>3808704.33</v>
      </c>
      <c r="F89" s="450">
        <f>925610.08+1113792.46+882532.42+103561.52</f>
        <v>3025496.48</v>
      </c>
      <c r="G89" s="452">
        <f>F89/E89</f>
        <v>0.79436370425740033</v>
      </c>
      <c r="H89" s="450">
        <f>1088953.04+1310344.07+1038273.44+121837.09</f>
        <v>3559407.64</v>
      </c>
      <c r="I89" s="466" t="s">
        <v>724</v>
      </c>
      <c r="J89" s="326"/>
      <c r="L89" s="449">
        <v>83</v>
      </c>
      <c r="M89" s="450" t="s">
        <v>936</v>
      </c>
      <c r="N89" s="450">
        <v>1138036</v>
      </c>
      <c r="O89" s="451">
        <f>29324.99+341873.38+701897.91+57428.11</f>
        <v>1130524.3900000001</v>
      </c>
      <c r="P89" s="452">
        <f t="shared" si="11"/>
        <v>0.99339949702821362</v>
      </c>
      <c r="Q89" s="450">
        <f>34500+402204.1+825762.5+67562.5</f>
        <v>1330029.1000000001</v>
      </c>
      <c r="R89" s="466" t="s">
        <v>724</v>
      </c>
      <c r="S89" s="55"/>
      <c r="T89" s="449">
        <v>83</v>
      </c>
      <c r="U89" s="1000" t="s">
        <v>940</v>
      </c>
      <c r="V89" s="997">
        <v>997449.81</v>
      </c>
      <c r="W89" s="997">
        <f>61742.93+83905.61+240434.21+390346.52</f>
        <v>776429.27</v>
      </c>
      <c r="X89" s="998">
        <f t="shared" si="5"/>
        <v>0.77841437455384344</v>
      </c>
      <c r="Y89" s="997">
        <f>72638.75+98712.5+282863.8+459231.25</f>
        <v>913446.3</v>
      </c>
    </row>
    <row r="90" spans="2:25" ht="15" customHeight="1" x14ac:dyDescent="0.25">
      <c r="B90" s="1366">
        <v>13</v>
      </c>
      <c r="C90" s="1480" t="s">
        <v>941</v>
      </c>
      <c r="D90" s="1481"/>
      <c r="E90" s="1367">
        <v>29998806.940000001</v>
      </c>
      <c r="F90" s="1367">
        <f>38250+38250+508236.07+1287238.57+3419942.93+1867115.4+3589162.13+2981894.51+4944600.94+4120657.07+4169305.76+1358431.45</f>
        <v>28323084.830000002</v>
      </c>
      <c r="G90" s="1259">
        <f>F90/E90</f>
        <v>0.94414037487052149</v>
      </c>
      <c r="H90" s="1367">
        <f>45000+45000+597924.79+1514398.32+4023462.27+2196606.35+4222543.68+3508111.19+5817177.58+4847831.84+4905065.6+1598154.65</f>
        <v>33321276.269999996</v>
      </c>
      <c r="I90" s="1361" t="s">
        <v>724</v>
      </c>
      <c r="J90" s="335"/>
      <c r="L90" s="449">
        <v>84</v>
      </c>
      <c r="M90" s="450" t="s">
        <v>939</v>
      </c>
      <c r="N90" s="450">
        <v>4500000</v>
      </c>
      <c r="O90" s="451">
        <f>193255.65+414976.08+2391164.03+1445281.55+51402.81</f>
        <v>4496080.1199999992</v>
      </c>
      <c r="P90" s="452">
        <f t="shared" si="11"/>
        <v>0.99912891555555539</v>
      </c>
      <c r="Q90" s="450">
        <f>241885.32+519398.13+2992861.93+1808963.37+64337.5</f>
        <v>5627446.25</v>
      </c>
      <c r="R90" s="466" t="s">
        <v>724</v>
      </c>
      <c r="S90" s="55"/>
      <c r="T90" s="449">
        <v>84</v>
      </c>
      <c r="U90" s="430" t="s">
        <v>946</v>
      </c>
      <c r="V90" s="450">
        <v>415076.36</v>
      </c>
      <c r="W90" s="450">
        <f>128661.66+218007.28+21901.66+23664.87</f>
        <v>392235.47</v>
      </c>
      <c r="X90" s="452">
        <f t="shared" si="5"/>
        <v>0.9449718360255448</v>
      </c>
      <c r="Y90" s="450">
        <f>151366.67+256479.16+25766.66+27841.02</f>
        <v>461453.51</v>
      </c>
    </row>
    <row r="91" spans="2:25" ht="15" customHeight="1" x14ac:dyDescent="0.25">
      <c r="B91" s="439">
        <v>14</v>
      </c>
      <c r="C91" s="1472" t="s">
        <v>932</v>
      </c>
      <c r="D91" s="1473"/>
      <c r="E91" s="128">
        <v>13287540.640000001</v>
      </c>
      <c r="F91" s="128">
        <f>20049.38+32079+654590.75+2857643.4</f>
        <v>3564362.53</v>
      </c>
      <c r="G91" s="454">
        <f t="shared" si="12"/>
        <v>0.26824847626580806</v>
      </c>
      <c r="H91" s="98">
        <f>23587.5+37740+770106.76+3361933.41</f>
        <v>4193367.67</v>
      </c>
      <c r="I91" s="61"/>
      <c r="J91" s="335"/>
      <c r="L91" s="449">
        <v>85</v>
      </c>
      <c r="M91" s="450" t="s">
        <v>942</v>
      </c>
      <c r="N91" s="450">
        <v>2613087</v>
      </c>
      <c r="O91" s="451">
        <f>1246197.89+1317182.76+7735+33198.61+7193.86</f>
        <v>2611508.1199999996</v>
      </c>
      <c r="P91" s="452">
        <f t="shared" si="11"/>
        <v>0.99939577978077254</v>
      </c>
      <c r="Q91" s="450">
        <f>1466115.17+1549626.78+9100+39057.19+8463.36</f>
        <v>3072362.5</v>
      </c>
      <c r="R91" s="466" t="s">
        <v>724</v>
      </c>
      <c r="S91" s="55"/>
      <c r="T91" s="449">
        <v>85</v>
      </c>
      <c r="U91" s="430" t="s">
        <v>955</v>
      </c>
      <c r="V91" s="450">
        <v>452261.93</v>
      </c>
      <c r="W91" s="450">
        <f>22760.61+45687.5+204461.38</f>
        <v>272909.49</v>
      </c>
      <c r="X91" s="452">
        <f t="shared" si="5"/>
        <v>0.6034323738016153</v>
      </c>
      <c r="Y91" s="450">
        <f>26777.2+53750+240542.8</f>
        <v>321070</v>
      </c>
    </row>
    <row r="92" spans="2:25" ht="15" customHeight="1" x14ac:dyDescent="0.25">
      <c r="B92" s="1231">
        <v>15</v>
      </c>
      <c r="C92" s="1472" t="s">
        <v>935</v>
      </c>
      <c r="D92" s="1473"/>
      <c r="E92" s="128">
        <v>30000000</v>
      </c>
      <c r="F92" s="128">
        <f>71478.06+188245.03+853611.25+779466.18+1042526.21+2335760.65+2210521.5+1309879.59+1599909.2+1004125.25+2369091.71+790575.23+2235639.04</f>
        <v>16790828.899999999</v>
      </c>
      <c r="G92" s="454">
        <f t="shared" si="12"/>
        <v>0.55969429666666659</v>
      </c>
      <c r="H92" s="98">
        <f>84091.84+221464.74+1004248.53+917019.03+1226501.42+2747953.71+2600613.53+1541034.81+1882246.12+1181323.82+2787166.72+930088.51+2630163.58</f>
        <v>19753916.359999999</v>
      </c>
      <c r="I92" s="1009"/>
      <c r="J92" s="335"/>
      <c r="L92" s="457">
        <v>86</v>
      </c>
      <c r="M92" s="450" t="s">
        <v>945</v>
      </c>
      <c r="N92" s="450">
        <v>2764286.52</v>
      </c>
      <c r="O92" s="451">
        <f>286103.45+456578.36+1221240.35+341701.59</f>
        <v>2305623.75</v>
      </c>
      <c r="P92" s="452">
        <f t="shared" si="11"/>
        <v>0.83407553208341079</v>
      </c>
      <c r="Q92" s="450">
        <f>336711.13+537340.67+1437260.63+402143.8</f>
        <v>2713456.2299999995</v>
      </c>
      <c r="R92" s="466" t="s">
        <v>724</v>
      </c>
      <c r="S92" s="55"/>
      <c r="T92" s="439">
        <v>86</v>
      </c>
      <c r="U92" s="513" t="s">
        <v>934</v>
      </c>
      <c r="V92" s="233">
        <v>1020000</v>
      </c>
      <c r="W92" s="128">
        <v>0</v>
      </c>
      <c r="X92" s="454">
        <f t="shared" si="5"/>
        <v>0</v>
      </c>
      <c r="Y92" s="128">
        <v>0</v>
      </c>
    </row>
    <row r="93" spans="2:25" ht="15" customHeight="1" x14ac:dyDescent="0.25">
      <c r="B93" s="1231">
        <v>16</v>
      </c>
      <c r="C93" s="1472" t="s">
        <v>938</v>
      </c>
      <c r="D93" s="1473"/>
      <c r="E93" s="128">
        <v>8248921.9299999997</v>
      </c>
      <c r="F93" s="128">
        <f>50468.75+50468.75+50468.75+736178.91+1512265.61+1901325.34+1766120.7</f>
        <v>6067296.8100000005</v>
      </c>
      <c r="G93" s="454">
        <f t="shared" si="12"/>
        <v>0.73552603133922501</v>
      </c>
      <c r="H93" s="98">
        <f>59375+59375+59375+866092.84+1779136.01+2236853.34+2077789.06</f>
        <v>7137996.25</v>
      </c>
      <c r="I93" s="61"/>
      <c r="J93" s="326"/>
      <c r="L93" s="449">
        <v>87</v>
      </c>
      <c r="M93" s="450" t="s">
        <v>948</v>
      </c>
      <c r="N93" s="450">
        <v>2148670.7999999998</v>
      </c>
      <c r="O93" s="451">
        <f>21462.5+1033977.75+974353.02+46162.44</f>
        <v>2075955.71</v>
      </c>
      <c r="P93" s="452">
        <f t="shared" si="11"/>
        <v>0.96615810574611993</v>
      </c>
      <c r="Q93" s="450">
        <f>25250+1216444.42+1146297.66+54308.75</f>
        <v>2442300.83</v>
      </c>
      <c r="R93" s="466" t="s">
        <v>724</v>
      </c>
      <c r="S93" s="55"/>
      <c r="T93" s="439">
        <v>87</v>
      </c>
      <c r="U93" s="513" t="s">
        <v>937</v>
      </c>
      <c r="V93" s="233">
        <v>2008125</v>
      </c>
      <c r="W93" s="128">
        <f>209015+177012.5</f>
        <v>386027.5</v>
      </c>
      <c r="X93" s="454">
        <f t="shared" ref="X93:X97" si="14">W93/V93</f>
        <v>0.19223280423280423</v>
      </c>
      <c r="Y93" s="128">
        <f>245900+208250</f>
        <v>454150</v>
      </c>
    </row>
    <row r="94" spans="2:25" ht="15" customHeight="1" x14ac:dyDescent="0.25">
      <c r="B94" s="1231">
        <v>17</v>
      </c>
      <c r="C94" s="1472" t="s">
        <v>947</v>
      </c>
      <c r="D94" s="1473"/>
      <c r="E94" s="128">
        <v>4655970.37</v>
      </c>
      <c r="F94" s="128">
        <f>25085.63+25085.62+237410.75+442186.65+935355.27+1492653.55</f>
        <v>3157777.4699999997</v>
      </c>
      <c r="G94" s="454">
        <f t="shared" si="12"/>
        <v>0.67822112665205803</v>
      </c>
      <c r="H94" s="128">
        <f>29512.5+29512.49+279306.77+520219.59+1100417.96+1756062.99</f>
        <v>3715032.3</v>
      </c>
      <c r="I94" s="1196" t="s">
        <v>724</v>
      </c>
      <c r="J94" s="182"/>
      <c r="L94" s="449">
        <v>88</v>
      </c>
      <c r="M94" s="450" t="s">
        <v>951</v>
      </c>
      <c r="N94" s="450">
        <v>1901602.8</v>
      </c>
      <c r="O94" s="451">
        <f>36326.87+1695957.18+531.26</f>
        <v>1732815.31</v>
      </c>
      <c r="P94" s="452">
        <f t="shared" si="11"/>
        <v>0.91123935555837421</v>
      </c>
      <c r="Q94" s="450">
        <f>42737.5+1995243.76+625</f>
        <v>2038606.26</v>
      </c>
      <c r="R94" s="466" t="s">
        <v>724</v>
      </c>
      <c r="S94" s="55"/>
      <c r="T94" s="439">
        <v>88</v>
      </c>
      <c r="U94" s="513" t="s">
        <v>949</v>
      </c>
      <c r="V94" s="233">
        <v>2457358.27</v>
      </c>
      <c r="W94" s="128">
        <f>194696.19+895943.29+525105.23+428093.53</f>
        <v>2043838.24</v>
      </c>
      <c r="X94" s="454">
        <f t="shared" si="14"/>
        <v>0.83172171715929721</v>
      </c>
      <c r="Y94" s="128">
        <f>229054.35+1054050.94+617770.87+503639.45</f>
        <v>2404515.6100000003</v>
      </c>
    </row>
    <row r="95" spans="2:25" ht="15" customHeight="1" x14ac:dyDescent="0.25">
      <c r="B95" s="1231">
        <v>18</v>
      </c>
      <c r="C95" s="1472" t="s">
        <v>950</v>
      </c>
      <c r="D95" s="1473"/>
      <c r="E95" s="128">
        <v>8709426.1899999995</v>
      </c>
      <c r="F95" s="128">
        <f>25632.82+25632.82+25632.82+380953.55+190831.68+922773.01+1482779.73+664157.83+405287.9+283050.79</f>
        <v>4406732.9499999993</v>
      </c>
      <c r="G95" s="454">
        <f t="shared" si="12"/>
        <v>0.505972822303693</v>
      </c>
      <c r="H95" s="128">
        <f>30156.26+30156.26+30156.26+448180.64+224507.86+1085615.3+1744446.75+781362.15+476809.29+333000.93</f>
        <v>5184391.7</v>
      </c>
      <c r="I95" s="1196" t="s">
        <v>724</v>
      </c>
      <c r="J95" s="341"/>
      <c r="L95" s="449">
        <v>89</v>
      </c>
      <c r="M95" s="450" t="s">
        <v>954</v>
      </c>
      <c r="N95" s="450">
        <v>4111669.93</v>
      </c>
      <c r="O95" s="451">
        <f>411981.02+202741.66+173661.54+1689325.26+1332954.48+296200.76</f>
        <v>4106864.7199999997</v>
      </c>
      <c r="P95" s="452">
        <f t="shared" si="11"/>
        <v>0.99883132399200136</v>
      </c>
      <c r="Q95" s="450">
        <f>484683.56+238519.6+204307.7+1987441.49+1568181.75+348471.48</f>
        <v>4831605.58</v>
      </c>
      <c r="R95" s="466" t="s">
        <v>724</v>
      </c>
      <c r="S95" s="55"/>
      <c r="T95" s="439">
        <v>89</v>
      </c>
      <c r="U95" s="513" t="s">
        <v>952</v>
      </c>
      <c r="V95" s="233">
        <v>428303.63</v>
      </c>
      <c r="W95" s="128">
        <f>27667.47+67999.95+56631.21+170541.75+96852.11</f>
        <v>419692.49</v>
      </c>
      <c r="X95" s="454">
        <f t="shared" si="14"/>
        <v>0.97989477698332839</v>
      </c>
      <c r="Y95" s="128">
        <f>32550+80000+66625+200637.5+113943.75</f>
        <v>493756.25</v>
      </c>
    </row>
    <row r="96" spans="2:25" ht="15" customHeight="1" x14ac:dyDescent="0.25">
      <c r="B96" s="439">
        <v>19</v>
      </c>
      <c r="C96" s="1472" t="s">
        <v>956</v>
      </c>
      <c r="D96" s="1473"/>
      <c r="E96" s="128">
        <v>2567218</v>
      </c>
      <c r="F96" s="128">
        <f>280826.32+1244183.37</f>
        <v>1525009.6900000002</v>
      </c>
      <c r="G96" s="454">
        <f t="shared" si="12"/>
        <v>0.59403201831710439</v>
      </c>
      <c r="H96" s="128">
        <f>330383.91+1463745.14</f>
        <v>1794129.0499999998</v>
      </c>
      <c r="I96" s="1196" t="s">
        <v>724</v>
      </c>
      <c r="J96" s="335"/>
      <c r="L96" s="449">
        <v>90</v>
      </c>
      <c r="M96" s="450" t="s">
        <v>957</v>
      </c>
      <c r="N96" s="450">
        <v>3913963</v>
      </c>
      <c r="O96" s="451">
        <f>163717.17+302517+748872.28+1415613.94+921563.4+346843.93</f>
        <v>3899127.72</v>
      </c>
      <c r="P96" s="452">
        <f t="shared" si="11"/>
        <v>0.99620965246733306</v>
      </c>
      <c r="Q96" s="450">
        <f>192608.46+355902.4+881026.32+1665428.38+1084192.38+408051.79</f>
        <v>4587209.7299999995</v>
      </c>
      <c r="R96" s="466" t="s">
        <v>724</v>
      </c>
      <c r="S96" s="55"/>
      <c r="T96" s="439">
        <v>90</v>
      </c>
      <c r="U96" s="513" t="s">
        <v>958</v>
      </c>
      <c r="V96" s="128">
        <v>1096245.5</v>
      </c>
      <c r="W96" s="128">
        <f>111322.8+129986.63+108302.03+85453.47+83379.49</f>
        <v>518444.41999999993</v>
      </c>
      <c r="X96" s="454">
        <f t="shared" si="14"/>
        <v>0.47292729593872901</v>
      </c>
      <c r="Y96" s="128">
        <f>184108.33+214975+179112.5+141325+135707.5</f>
        <v>855228.33</v>
      </c>
    </row>
    <row r="97" spans="1:25" ht="15" customHeight="1" x14ac:dyDescent="0.25">
      <c r="B97" s="439">
        <v>20</v>
      </c>
      <c r="C97" s="1472" t="s">
        <v>959</v>
      </c>
      <c r="D97" s="1473"/>
      <c r="E97" s="128">
        <v>8964011.7400000002</v>
      </c>
      <c r="F97" s="128">
        <f>32890.28+16445.14+16445.14+16445.14+5980.05+5980.05+5980.05+60769.64+2445786.42+1268210.22</f>
        <v>3874932.13</v>
      </c>
      <c r="G97" s="454">
        <f t="shared" si="12"/>
        <v>0.43227655679085486</v>
      </c>
      <c r="H97" s="128">
        <f>38694.46+19347.23+19347.23+19347.23+7035.35+7035.35+7035.35+71493.69+2877395.77+1492012.02</f>
        <v>4558743.68</v>
      </c>
      <c r="I97" s="1196" t="s">
        <v>724</v>
      </c>
      <c r="J97" s="335"/>
      <c r="L97" s="449">
        <v>91</v>
      </c>
      <c r="M97" s="450" t="s">
        <v>960</v>
      </c>
      <c r="N97" s="450">
        <v>2281970.02</v>
      </c>
      <c r="O97" s="451">
        <f>155337.5+89887.5+1252142.7+230179.47+19125</f>
        <v>1746672.17</v>
      </c>
      <c r="P97" s="452">
        <f t="shared" si="11"/>
        <v>0.7654229261083807</v>
      </c>
      <c r="Q97" s="450">
        <f>182750+105750+1473109.06+270799.38+22500</f>
        <v>2054908.44</v>
      </c>
      <c r="R97" s="466" t="s">
        <v>724</v>
      </c>
      <c r="S97" s="55"/>
      <c r="T97" s="439">
        <v>91</v>
      </c>
      <c r="U97" s="513" t="s">
        <v>961</v>
      </c>
      <c r="V97" s="128">
        <v>3600000</v>
      </c>
      <c r="W97" s="128">
        <v>365129.86</v>
      </c>
      <c r="X97" s="454">
        <f t="shared" si="14"/>
        <v>0.1014249611111111</v>
      </c>
      <c r="Y97" s="128">
        <v>501618.3</v>
      </c>
    </row>
    <row r="98" spans="1:25" ht="15" customHeight="1" x14ac:dyDescent="0.25">
      <c r="B98" s="439">
        <v>21</v>
      </c>
      <c r="C98" s="1472" t="s">
        <v>965</v>
      </c>
      <c r="D98" s="1473"/>
      <c r="E98" s="515">
        <v>7935514.9199999999</v>
      </c>
      <c r="F98" s="128">
        <f>1012169.57+3436946.31</f>
        <v>4449115.88</v>
      </c>
      <c r="G98" s="454">
        <f t="shared" si="12"/>
        <v>0.56065875054772119</v>
      </c>
      <c r="H98" s="128">
        <f>1190787.73+4043466.25</f>
        <v>5234253.9800000004</v>
      </c>
      <c r="I98" s="1009"/>
      <c r="J98" s="335"/>
      <c r="L98" s="449">
        <v>92</v>
      </c>
      <c r="M98" s="450" t="s">
        <v>963</v>
      </c>
      <c r="N98" s="450">
        <v>2043200.81</v>
      </c>
      <c r="O98" s="451">
        <f>6800+1512502.39+247608.45+36295</f>
        <v>1803205.8399999999</v>
      </c>
      <c r="P98" s="452">
        <f t="shared" si="11"/>
        <v>0.88253970494461564</v>
      </c>
      <c r="Q98" s="450">
        <f>8000+1779414.58+291304.06+42700</f>
        <v>2121418.64</v>
      </c>
      <c r="R98" s="466" t="s">
        <v>724</v>
      </c>
      <c r="S98" s="55"/>
      <c r="T98" s="516" t="s">
        <v>964</v>
      </c>
      <c r="U98" s="517"/>
      <c r="V98" s="518">
        <f>SUM(V7:V97)</f>
        <v>53636558.840000011</v>
      </c>
      <c r="W98" s="518">
        <f>SUM(W7:W97)</f>
        <v>37831482.45000001</v>
      </c>
      <c r="X98" s="519">
        <f>W98/V98</f>
        <v>0.70533015667266852</v>
      </c>
      <c r="Y98" s="518">
        <f>SUM(Y7:Y97)</f>
        <v>45013110.249999985</v>
      </c>
    </row>
    <row r="99" spans="1:25" ht="15" customHeight="1" x14ac:dyDescent="0.25">
      <c r="B99" s="439">
        <v>22</v>
      </c>
      <c r="C99" s="1472" t="s">
        <v>967</v>
      </c>
      <c r="D99" s="1473"/>
      <c r="E99" s="515">
        <v>8993906.2400000002</v>
      </c>
      <c r="F99" s="128">
        <f>25767.75+17178.5+316913.69+1700707.76</f>
        <v>2060567.7</v>
      </c>
      <c r="G99" s="454">
        <f>F99/E99</f>
        <v>0.229107091514443</v>
      </c>
      <c r="H99" s="128">
        <f>30315+20210+372839.63+2000832.66</f>
        <v>2424197.29</v>
      </c>
      <c r="I99" s="1009"/>
      <c r="J99" s="326"/>
      <c r="L99" s="449">
        <v>93</v>
      </c>
      <c r="M99" s="450" t="s">
        <v>966</v>
      </c>
      <c r="N99" s="450">
        <v>817999.62</v>
      </c>
      <c r="O99" s="451">
        <f>13650.99+594701.42+36953.06+128621.68</f>
        <v>773927.14999999991</v>
      </c>
      <c r="P99" s="452">
        <f t="shared" si="11"/>
        <v>0.94612164978756341</v>
      </c>
      <c r="Q99" s="450">
        <f>16060+699649.46+43474.23+151319.79</f>
        <v>910503.48</v>
      </c>
      <c r="R99" s="466" t="s">
        <v>724</v>
      </c>
      <c r="S99" s="55"/>
    </row>
    <row r="100" spans="1:25" ht="15" customHeight="1" x14ac:dyDescent="0.25">
      <c r="B100" s="1231">
        <v>23</v>
      </c>
      <c r="C100" s="1478" t="s">
        <v>972</v>
      </c>
      <c r="D100" s="1479"/>
      <c r="E100" s="1232">
        <v>19024184.579999998</v>
      </c>
      <c r="F100" s="1233">
        <f>35416.95+558413.71+1040896.46+1899260.86+2949163.54+955834.68+1528202.6+2488982.37</f>
        <v>11456171.169999998</v>
      </c>
      <c r="G100" s="441">
        <f t="shared" si="12"/>
        <v>0.60218986636850635</v>
      </c>
      <c r="H100" s="1232">
        <f>41667+656957.31+1224584.07+2234424.54+3469604.14+1124511.39+1797885.4+2928214.55</f>
        <v>13477848.400000002</v>
      </c>
      <c r="I100" s="514" t="s">
        <v>724</v>
      </c>
      <c r="J100" s="1177"/>
      <c r="L100" s="449">
        <v>94</v>
      </c>
      <c r="M100" s="450" t="s">
        <v>968</v>
      </c>
      <c r="N100" s="450">
        <v>1633755.25</v>
      </c>
      <c r="O100" s="451">
        <f>1362164.9+27347.18+17949.65</f>
        <v>1407461.7299999997</v>
      </c>
      <c r="P100" s="452">
        <f t="shared" si="11"/>
        <v>0.86148872666208709</v>
      </c>
      <c r="Q100" s="450">
        <f>1602546.94+32173.17+21117.23</f>
        <v>1655837.3399999999</v>
      </c>
      <c r="R100" s="466" t="s">
        <v>724</v>
      </c>
      <c r="S100" s="55"/>
    </row>
    <row r="101" spans="1:25" ht="15" customHeight="1" x14ac:dyDescent="0.25">
      <c r="B101" s="485" t="s">
        <v>974</v>
      </c>
      <c r="C101" s="506"/>
      <c r="D101" s="486"/>
      <c r="E101" s="488">
        <f>SUM(E78:E100)</f>
        <v>222329925.35000002</v>
      </c>
      <c r="F101" s="488">
        <f>SUM(F78:F100)</f>
        <v>143154304.19999999</v>
      </c>
      <c r="G101" s="489">
        <f t="shared" si="12"/>
        <v>0.64388230227955667</v>
      </c>
      <c r="H101" s="488">
        <f>SUM(H78:H100)</f>
        <v>168416828.40000001</v>
      </c>
      <c r="I101" s="489"/>
      <c r="J101" s="335"/>
      <c r="L101" s="449">
        <v>95</v>
      </c>
      <c r="M101" s="450" t="s">
        <v>970</v>
      </c>
      <c r="N101" s="450">
        <v>2088565.68</v>
      </c>
      <c r="O101" s="451">
        <f>571147.03+276034.76+707849.38+380867.71+80082.75+54888.75</f>
        <v>2070870.38</v>
      </c>
      <c r="P101" s="452">
        <f t="shared" si="11"/>
        <v>0.99152753481997269</v>
      </c>
      <c r="Q101" s="450">
        <f>671937.68+324746.78+832763.98+448079.66+94215+64575</f>
        <v>2436318.1</v>
      </c>
      <c r="R101" s="466" t="s">
        <v>724</v>
      </c>
      <c r="S101" s="55"/>
      <c r="T101" s="1484" t="s">
        <v>971</v>
      </c>
      <c r="U101" s="1485"/>
      <c r="V101" s="1485"/>
      <c r="W101" s="1485"/>
      <c r="X101" s="1485"/>
      <c r="Y101" s="1485"/>
    </row>
    <row r="102" spans="1:25" ht="15" customHeight="1" x14ac:dyDescent="0.25">
      <c r="B102" s="1320" t="s">
        <v>976</v>
      </c>
      <c r="C102" s="1303"/>
      <c r="D102" s="1303"/>
      <c r="E102" s="1303"/>
      <c r="F102" s="1303"/>
      <c r="G102" s="1303"/>
      <c r="H102" s="1303"/>
      <c r="I102" s="1304"/>
      <c r="J102" s="335"/>
      <c r="L102" s="449">
        <v>96</v>
      </c>
      <c r="M102" s="450" t="s">
        <v>973</v>
      </c>
      <c r="N102" s="450">
        <v>2791067.49</v>
      </c>
      <c r="O102" s="451">
        <f>110096.22+24564.13+178796.02+509385.84+1960313.17</f>
        <v>2783155.38</v>
      </c>
      <c r="P102" s="452">
        <f t="shared" si="11"/>
        <v>0.9971652029095146</v>
      </c>
      <c r="Q102" s="450">
        <f>129525+28898.99+210348.25+599277.46+2306250.8</f>
        <v>3274300.5</v>
      </c>
      <c r="R102" s="466" t="s">
        <v>724</v>
      </c>
      <c r="S102" s="55"/>
      <c r="T102" s="439">
        <v>1</v>
      </c>
      <c r="U102" s="513" t="s">
        <v>2011</v>
      </c>
      <c r="V102" s="128">
        <v>470105.83</v>
      </c>
      <c r="W102" s="98">
        <v>0</v>
      </c>
      <c r="X102" s="454" t="s">
        <v>2012</v>
      </c>
      <c r="Y102" s="98"/>
    </row>
    <row r="103" spans="1:25" ht="15" customHeight="1" x14ac:dyDescent="0.25">
      <c r="B103" s="1305"/>
      <c r="C103" s="1306"/>
      <c r="D103" s="1306"/>
      <c r="E103" s="1306"/>
      <c r="F103" s="1306"/>
      <c r="G103" s="1306"/>
      <c r="H103" s="1306"/>
      <c r="I103" s="1307"/>
      <c r="J103" s="335"/>
      <c r="L103" s="449">
        <v>97</v>
      </c>
      <c r="M103" s="450" t="s">
        <v>975</v>
      </c>
      <c r="N103" s="450">
        <v>3229554.33</v>
      </c>
      <c r="O103" s="451">
        <f>480282.21+528257.98+1616549.85+449194.02+44051.28+16214.93+2197.36</f>
        <v>3136747.63</v>
      </c>
      <c r="P103" s="452">
        <f t="shared" si="11"/>
        <v>0.97126331050142134</v>
      </c>
      <c r="Q103" s="450">
        <f>565037.9+621479.98+1901823.36+528463.54+51825.02+19076.37+2585.17</f>
        <v>3690291.3400000003</v>
      </c>
      <c r="R103" s="466" t="s">
        <v>724</v>
      </c>
      <c r="S103" s="55"/>
      <c r="T103" s="439">
        <v>2</v>
      </c>
      <c r="U103" s="513" t="s">
        <v>2013</v>
      </c>
      <c r="V103" s="128">
        <v>480324.98</v>
      </c>
      <c r="W103" s="98">
        <v>60559.519999999997</v>
      </c>
      <c r="X103" s="454" t="s">
        <v>2014</v>
      </c>
      <c r="Y103" s="98" t="s">
        <v>2015</v>
      </c>
    </row>
    <row r="104" spans="1:25" ht="15" customHeight="1" thickBot="1" x14ac:dyDescent="0.3">
      <c r="B104" s="522">
        <v>1</v>
      </c>
      <c r="C104" s="1472" t="s">
        <v>979</v>
      </c>
      <c r="D104" s="1473"/>
      <c r="E104" s="128">
        <v>23838685.260000002</v>
      </c>
      <c r="F104" s="128">
        <v>104425.85</v>
      </c>
      <c r="G104" s="454">
        <f>F104/E104</f>
        <v>4.3805205220449304E-3</v>
      </c>
      <c r="H104" s="128">
        <v>122853.95</v>
      </c>
      <c r="I104" s="523"/>
      <c r="J104" s="326"/>
      <c r="L104" s="443">
        <v>98</v>
      </c>
      <c r="M104" s="445" t="s">
        <v>977</v>
      </c>
      <c r="N104" s="445">
        <v>4187015.3</v>
      </c>
      <c r="O104" s="501">
        <f>38951.25+1147988.16+2587377.36+69108.71</f>
        <v>3843425.4799999995</v>
      </c>
      <c r="P104" s="447">
        <f t="shared" si="11"/>
        <v>0.91793920122527373</v>
      </c>
      <c r="Q104" s="445">
        <f>45825+1350574.31+3043973.37+81304.37</f>
        <v>4521677.05</v>
      </c>
      <c r="R104" s="448" t="s">
        <v>724</v>
      </c>
      <c r="S104" s="55"/>
      <c r="T104" s="966"/>
      <c r="U104" s="966"/>
      <c r="V104" s="966"/>
      <c r="W104" s="966"/>
      <c r="X104" s="966"/>
      <c r="Y104" s="966"/>
    </row>
    <row r="105" spans="1:25" ht="15" customHeight="1" x14ac:dyDescent="0.25">
      <c r="B105" s="522">
        <f t="shared" ref="B105:B111" si="15">1+B104</f>
        <v>2</v>
      </c>
      <c r="C105" s="1472" t="s">
        <v>981</v>
      </c>
      <c r="D105" s="1473"/>
      <c r="E105" s="128">
        <v>11314248.390000001</v>
      </c>
      <c r="F105" s="128">
        <v>0</v>
      </c>
      <c r="G105" s="454">
        <f>F105/E105</f>
        <v>0</v>
      </c>
      <c r="H105" s="128">
        <v>0</v>
      </c>
      <c r="I105" s="523"/>
      <c r="J105" s="326"/>
      <c r="L105" s="457">
        <v>99</v>
      </c>
      <c r="M105" s="459" t="s">
        <v>997</v>
      </c>
      <c r="N105" s="459">
        <v>2048103.05</v>
      </c>
      <c r="O105" s="460">
        <f>380435.87+810852.3+821734.71</f>
        <v>2013022.88</v>
      </c>
      <c r="P105" s="461">
        <f t="shared" si="11"/>
        <v>0.98287187258473141</v>
      </c>
      <c r="Q105" s="459">
        <f>447571.61+953943.88+966746.72</f>
        <v>2368262.21</v>
      </c>
      <c r="R105" s="462" t="s">
        <v>724</v>
      </c>
      <c r="S105" s="55"/>
      <c r="T105" s="520"/>
      <c r="U105" s="520"/>
      <c r="V105" s="520"/>
      <c r="W105" s="520"/>
      <c r="X105" s="520"/>
      <c r="Y105" s="520"/>
    </row>
    <row r="106" spans="1:25" ht="15" customHeight="1" x14ac:dyDescent="0.25">
      <c r="B106" s="522">
        <f t="shared" si="15"/>
        <v>3</v>
      </c>
      <c r="C106" s="1472" t="s">
        <v>983</v>
      </c>
      <c r="D106" s="1473"/>
      <c r="E106" s="128">
        <v>7213483.9699999997</v>
      </c>
      <c r="F106" s="128">
        <v>130510.27</v>
      </c>
      <c r="G106" s="454">
        <f>F106/E106</f>
        <v>1.809254315151684E-2</v>
      </c>
      <c r="H106" s="128">
        <v>153541.5</v>
      </c>
      <c r="I106" s="1178"/>
      <c r="J106" s="335"/>
      <c r="L106" s="457">
        <v>100</v>
      </c>
      <c r="M106" s="450" t="s">
        <v>1001</v>
      </c>
      <c r="N106" s="450">
        <v>2122800</v>
      </c>
      <c r="O106" s="451">
        <f>1825761.37+292832.56</f>
        <v>2118593.9300000002</v>
      </c>
      <c r="P106" s="452">
        <f t="shared" si="11"/>
        <v>0.9980186216318071</v>
      </c>
      <c r="Q106" s="450">
        <f>2148026.79+344520.48</f>
        <v>2492547.27</v>
      </c>
      <c r="R106" s="466" t="s">
        <v>724</v>
      </c>
      <c r="S106" s="55"/>
      <c r="T106" s="521"/>
      <c r="U106" s="521"/>
      <c r="V106" s="970"/>
      <c r="W106" s="521"/>
      <c r="X106" s="521"/>
      <c r="Y106" s="521"/>
    </row>
    <row r="107" spans="1:25" ht="15" customHeight="1" x14ac:dyDescent="0.25">
      <c r="B107" s="522">
        <f t="shared" si="15"/>
        <v>4</v>
      </c>
      <c r="C107" s="1472" t="s">
        <v>985</v>
      </c>
      <c r="D107" s="1473"/>
      <c r="E107" s="98">
        <v>8837746.4299999997</v>
      </c>
      <c r="F107" s="128">
        <v>0</v>
      </c>
      <c r="G107" s="454">
        <f t="shared" ref="G107:G111" si="16">F107/E107</f>
        <v>0</v>
      </c>
      <c r="H107" s="128">
        <v>0</v>
      </c>
      <c r="I107" s="523"/>
      <c r="J107" s="335"/>
      <c r="L107" s="449">
        <v>101</v>
      </c>
      <c r="M107" s="450" t="s">
        <v>1016</v>
      </c>
      <c r="N107" s="450">
        <v>3404504.47</v>
      </c>
      <c r="O107" s="451">
        <f>871828.82+624117.46+638838.82+886594.05+347368.51</f>
        <v>3368747.6599999992</v>
      </c>
      <c r="P107" s="452">
        <f t="shared" si="11"/>
        <v>0.98949720574166233</v>
      </c>
      <c r="Q107" s="450">
        <f>1025680.97+734255.84+751575.08+1043051.83+408668.84</f>
        <v>3963232.56</v>
      </c>
      <c r="R107" s="466" t="s">
        <v>724</v>
      </c>
      <c r="S107" s="55"/>
      <c r="T107" s="524"/>
      <c r="U107" s="524"/>
      <c r="V107" s="525"/>
    </row>
    <row r="108" spans="1:25" ht="15" customHeight="1" x14ac:dyDescent="0.25">
      <c r="B108" s="522">
        <f t="shared" si="15"/>
        <v>5</v>
      </c>
      <c r="C108" s="1472" t="s">
        <v>987</v>
      </c>
      <c r="D108" s="1473"/>
      <c r="E108" s="98">
        <v>59999208.609999999</v>
      </c>
      <c r="F108" s="128">
        <f>109285.7</f>
        <v>109285.7</v>
      </c>
      <c r="G108" s="454">
        <f t="shared" si="16"/>
        <v>1.8214523579863598E-3</v>
      </c>
      <c r="H108" s="128">
        <v>128571.42</v>
      </c>
      <c r="I108" s="1178"/>
      <c r="J108" s="335"/>
      <c r="L108" s="449">
        <v>102</v>
      </c>
      <c r="M108" s="450" t="s">
        <v>1035</v>
      </c>
      <c r="N108" s="450">
        <v>2425719.34</v>
      </c>
      <c r="O108" s="451">
        <f>585208.6+876156.11+388780.15+194556.95</f>
        <v>2044701.8099999998</v>
      </c>
      <c r="P108" s="452">
        <f t="shared" si="11"/>
        <v>0.84292596273730491</v>
      </c>
      <c r="Q108" s="450">
        <f>688480.71+1030771.9+457388.42+228890.54</f>
        <v>2405531.5699999998</v>
      </c>
      <c r="R108" s="466" t="s">
        <v>724</v>
      </c>
      <c r="S108" s="55"/>
      <c r="T108" s="432"/>
      <c r="U108" s="526"/>
      <c r="V108" s="527"/>
    </row>
    <row r="109" spans="1:25" ht="15" customHeight="1" x14ac:dyDescent="0.25">
      <c r="B109" s="522">
        <f t="shared" si="15"/>
        <v>6</v>
      </c>
      <c r="C109" s="1472" t="s">
        <v>989</v>
      </c>
      <c r="D109" s="1473"/>
      <c r="E109" s="98">
        <v>12706703.119999999</v>
      </c>
      <c r="F109" s="128">
        <v>0</v>
      </c>
      <c r="G109" s="454">
        <f t="shared" si="16"/>
        <v>0</v>
      </c>
      <c r="H109" s="128">
        <v>0</v>
      </c>
      <c r="I109" s="523"/>
      <c r="J109" s="326"/>
      <c r="L109" s="449">
        <v>103</v>
      </c>
      <c r="M109" s="450" t="s">
        <v>990</v>
      </c>
      <c r="N109" s="450">
        <v>3609166.72</v>
      </c>
      <c r="O109" s="451">
        <f>735818.56+116600.76+956695.54+1492155.05+284914.51</f>
        <v>3586184.42</v>
      </c>
      <c r="P109" s="452">
        <f t="shared" si="11"/>
        <v>0.99363224207054635</v>
      </c>
      <c r="Q109" s="450">
        <f>865668.9+137177.37+1125524.16+1755476.53+335193.54</f>
        <v>4219040.5</v>
      </c>
      <c r="R109" s="466" t="s">
        <v>724</v>
      </c>
      <c r="S109" s="55"/>
      <c r="T109" s="432"/>
      <c r="U109" s="526"/>
      <c r="V109" s="527"/>
    </row>
    <row r="110" spans="1:25" ht="15" customHeight="1" x14ac:dyDescent="0.25">
      <c r="A110" s="55"/>
      <c r="B110" s="522">
        <f t="shared" si="15"/>
        <v>7</v>
      </c>
      <c r="C110" s="1472" t="s">
        <v>991</v>
      </c>
      <c r="D110" s="1473"/>
      <c r="E110" s="98">
        <v>4566424.57</v>
      </c>
      <c r="F110" s="128">
        <f>102270.13</f>
        <v>102270.13</v>
      </c>
      <c r="G110" s="454">
        <f t="shared" si="16"/>
        <v>2.2396106282338086E-2</v>
      </c>
      <c r="H110" s="128">
        <v>120317.81</v>
      </c>
      <c r="I110" s="523"/>
      <c r="J110" s="182"/>
      <c r="L110" s="449">
        <v>104</v>
      </c>
      <c r="M110" s="997" t="s">
        <v>1034</v>
      </c>
      <c r="N110" s="997">
        <v>3637278.39</v>
      </c>
      <c r="O110" s="1002">
        <f>33203.12+31060.41+332783.5+1577901.63+1158276.61</f>
        <v>3133225.27</v>
      </c>
      <c r="P110" s="998">
        <f t="shared" si="11"/>
        <v>0.86142025274012635</v>
      </c>
      <c r="Q110" s="997">
        <f>39062.5+36541.66+391510+1856354.86+1362678.38</f>
        <v>3686147.4</v>
      </c>
      <c r="R110" s="999" t="s">
        <v>724</v>
      </c>
      <c r="S110" s="55"/>
      <c r="T110" s="432"/>
      <c r="U110" s="526"/>
      <c r="V110" s="527"/>
    </row>
    <row r="111" spans="1:25" ht="15" customHeight="1" x14ac:dyDescent="0.25">
      <c r="B111" s="522">
        <f t="shared" si="15"/>
        <v>8</v>
      </c>
      <c r="C111" s="1472" t="s">
        <v>993</v>
      </c>
      <c r="D111" s="1473"/>
      <c r="E111" s="98">
        <v>24335453.140000001</v>
      </c>
      <c r="F111" s="128">
        <v>0</v>
      </c>
      <c r="G111" s="454">
        <f t="shared" si="16"/>
        <v>0</v>
      </c>
      <c r="H111" s="128">
        <v>0</v>
      </c>
      <c r="I111" s="523"/>
      <c r="J111" s="341"/>
      <c r="L111" s="449">
        <v>105</v>
      </c>
      <c r="M111" s="997" t="s">
        <v>1026</v>
      </c>
      <c r="N111" s="997">
        <v>3049972.76</v>
      </c>
      <c r="O111" s="1002">
        <f>179651.03+30901.05+249134.98+200909.1+1015476.9+1213725.22+12360.41</f>
        <v>2902158.6900000004</v>
      </c>
      <c r="P111" s="998">
        <f t="shared" si="11"/>
        <v>0.9515359376521122</v>
      </c>
      <c r="Q111" s="997">
        <f>211354.16+36354.18+293099.99+236363.66+1194678.71+1427912.03+14541.66</f>
        <v>3414304.39</v>
      </c>
      <c r="R111" s="999" t="s">
        <v>724</v>
      </c>
      <c r="S111" s="55"/>
      <c r="T111" s="432"/>
      <c r="U111" s="526"/>
      <c r="V111" s="527"/>
    </row>
    <row r="112" spans="1:25" ht="15" customHeight="1" x14ac:dyDescent="0.25">
      <c r="B112" s="530" t="s">
        <v>995</v>
      </c>
      <c r="C112" s="531"/>
      <c r="D112" s="532"/>
      <c r="E112" s="533">
        <f>SUM(E104:E111)</f>
        <v>152811953.49000001</v>
      </c>
      <c r="F112" s="533">
        <f>SUM(F104:F111)</f>
        <v>446491.95</v>
      </c>
      <c r="G112" s="533">
        <f>F112/E112</f>
        <v>2.921839161157104E-3</v>
      </c>
      <c r="H112" s="533">
        <f t="shared" ref="H112" si="17">SUM(H104:H111)</f>
        <v>525284.67999999993</v>
      </c>
      <c r="I112" s="534"/>
      <c r="J112" s="335"/>
      <c r="L112" s="449">
        <v>106</v>
      </c>
      <c r="M112" s="450" t="s">
        <v>988</v>
      </c>
      <c r="N112" s="450">
        <v>1586578.1</v>
      </c>
      <c r="O112" s="451">
        <f>564050.56+606774.05+169326.33+178682.15+42925</f>
        <v>1561758.09</v>
      </c>
      <c r="P112" s="452">
        <f t="shared" si="11"/>
        <v>0.98435626333175785</v>
      </c>
      <c r="Q112" s="450">
        <f>663588.91+713851.84+199207.45+210214.3+50500</f>
        <v>1837362.5</v>
      </c>
      <c r="R112" s="466" t="s">
        <v>724</v>
      </c>
      <c r="S112" s="55"/>
      <c r="T112" s="432"/>
      <c r="U112" s="529"/>
      <c r="V112" s="527"/>
    </row>
    <row r="113" spans="2:22" ht="15" customHeight="1" x14ac:dyDescent="0.25">
      <c r="J113" s="335"/>
      <c r="L113" s="449">
        <v>107</v>
      </c>
      <c r="M113" s="450" t="s">
        <v>978</v>
      </c>
      <c r="N113" s="450">
        <v>2685866.86</v>
      </c>
      <c r="O113" s="451">
        <f>953933.14+820502.77+626070.16+101215.96</f>
        <v>2501722.0300000003</v>
      </c>
      <c r="P113" s="452">
        <f t="shared" si="11"/>
        <v>0.93143933054075523</v>
      </c>
      <c r="Q113" s="450">
        <f>1122274.28+965297.38+736553.13+119077.6</f>
        <v>2943202.39</v>
      </c>
      <c r="R113" s="466" t="s">
        <v>724</v>
      </c>
      <c r="S113" s="55"/>
      <c r="T113" s="432"/>
      <c r="U113" s="526"/>
      <c r="V113" s="527"/>
    </row>
    <row r="114" spans="2:22" ht="15" customHeight="1" x14ac:dyDescent="0.25">
      <c r="B114" s="1345" t="s">
        <v>998</v>
      </c>
      <c r="C114" s="1346"/>
      <c r="D114" s="1347"/>
      <c r="E114" s="1482">
        <f>E101+E112</f>
        <v>375141878.84000003</v>
      </c>
      <c r="F114" s="1482">
        <f>F101+F112</f>
        <v>143600796.14999998</v>
      </c>
      <c r="G114" s="1486">
        <f>F114/E114</f>
        <v>0.38279063002519764</v>
      </c>
      <c r="H114" s="1482">
        <f>H101+H112</f>
        <v>168942113.08000001</v>
      </c>
      <c r="I114" s="505"/>
      <c r="J114" s="335"/>
      <c r="L114" s="449">
        <v>108</v>
      </c>
      <c r="M114" s="450" t="s">
        <v>984</v>
      </c>
      <c r="N114" s="450">
        <v>4500000</v>
      </c>
      <c r="O114" s="451">
        <f>107160.53+469629.17+358494.45+1900239.99+963422.24+420486.84</f>
        <v>4219433.22</v>
      </c>
      <c r="P114" s="452">
        <f>O114/N114</f>
        <v>0.93765182666666658</v>
      </c>
      <c r="Q114" s="450">
        <f>143174.09+627457.99+478974.1+2538855.88+1287200.68+561800.36</f>
        <v>5637463.0999999996</v>
      </c>
      <c r="R114" s="466" t="s">
        <v>724</v>
      </c>
      <c r="S114" s="55"/>
      <c r="T114" s="432"/>
      <c r="U114" s="529"/>
      <c r="V114" s="527"/>
    </row>
    <row r="115" spans="2:22" ht="15" customHeight="1" x14ac:dyDescent="0.25">
      <c r="B115" s="1348"/>
      <c r="C115" s="1349"/>
      <c r="D115" s="1350"/>
      <c r="E115" s="1483"/>
      <c r="F115" s="1483"/>
      <c r="G115" s="1487"/>
      <c r="H115" s="1483"/>
      <c r="J115" s="326"/>
      <c r="L115" s="449">
        <v>109</v>
      </c>
      <c r="M115" s="450" t="s">
        <v>1000</v>
      </c>
      <c r="N115" s="450">
        <v>1843330.18</v>
      </c>
      <c r="O115" s="451">
        <f>384398.71+1136190.34+138208.74+162383.53</f>
        <v>1821181.32</v>
      </c>
      <c r="P115" s="452">
        <f t="shared" ref="P115:P116" si="18">O115/N115</f>
        <v>0.98798432302562322</v>
      </c>
      <c r="Q115" s="450">
        <f>452233.78+1336694.52+162598.52+191039.45</f>
        <v>2142566.27</v>
      </c>
      <c r="R115" s="466" t="s">
        <v>724</v>
      </c>
      <c r="S115" s="55"/>
      <c r="T115" s="432"/>
      <c r="U115" s="526"/>
      <c r="V115" s="527"/>
    </row>
    <row r="116" spans="2:22" ht="15" customHeight="1" x14ac:dyDescent="0.25">
      <c r="B116"/>
      <c r="H116"/>
      <c r="I116" s="71"/>
      <c r="J116" s="326"/>
      <c r="L116" s="449">
        <v>110</v>
      </c>
      <c r="M116" s="450" t="s">
        <v>1025</v>
      </c>
      <c r="N116" s="450">
        <v>3365506.68</v>
      </c>
      <c r="O116" s="451">
        <f>470346.6+582981.29+647975.19+713850.1+771462.81</f>
        <v>3186615.99</v>
      </c>
      <c r="P116" s="452">
        <f t="shared" si="18"/>
        <v>0.94684583719203907</v>
      </c>
      <c r="Q116" s="450">
        <f>553348.94+685860.34+762323.75+839823.65+907603.31</f>
        <v>3748959.9899999998</v>
      </c>
      <c r="R116" s="466" t="s">
        <v>724</v>
      </c>
      <c r="S116" s="55"/>
      <c r="T116" s="432"/>
      <c r="U116" s="526"/>
      <c r="V116" s="527"/>
    </row>
    <row r="117" spans="2:22" ht="15" customHeight="1" x14ac:dyDescent="0.25">
      <c r="B117"/>
      <c r="H117"/>
      <c r="I117" s="182"/>
      <c r="J117" s="335"/>
      <c r="L117" s="449">
        <v>111</v>
      </c>
      <c r="M117" s="450" t="s">
        <v>980</v>
      </c>
      <c r="N117" s="450">
        <v>2165819.5499999998</v>
      </c>
      <c r="O117" s="450">
        <f>5670.56+1994007.82+73119.76</f>
        <v>2072798.1400000001</v>
      </c>
      <c r="P117" s="452">
        <f t="shared" si="11"/>
        <v>0.95705024917703796</v>
      </c>
      <c r="Q117" s="450">
        <f>6671.25+2345891.55+86023.25</f>
        <v>2438586.0499999998</v>
      </c>
      <c r="R117" s="466" t="s">
        <v>724</v>
      </c>
      <c r="S117" s="55"/>
      <c r="T117" s="432"/>
      <c r="U117" s="526"/>
      <c r="V117" s="527"/>
    </row>
    <row r="118" spans="2:22" ht="15" customHeight="1" x14ac:dyDescent="0.25">
      <c r="B118"/>
      <c r="H118"/>
      <c r="I118"/>
      <c r="J118" s="335"/>
      <c r="L118" s="449">
        <v>112</v>
      </c>
      <c r="M118" s="450" t="s">
        <v>994</v>
      </c>
      <c r="N118" s="450">
        <v>3499311</v>
      </c>
      <c r="O118" s="450">
        <f>442653.21+1581675.83+632920.16+88214.05</f>
        <v>2745463.25</v>
      </c>
      <c r="P118" s="452">
        <f t="shared" si="11"/>
        <v>0.78457252013324907</v>
      </c>
      <c r="Q118" s="450">
        <f>520768.55+1860795.33+744612.05+103781.25</f>
        <v>3229957.1799999997</v>
      </c>
      <c r="R118" s="466" t="s">
        <v>724</v>
      </c>
      <c r="S118" s="55"/>
      <c r="T118" s="432"/>
      <c r="U118" s="526"/>
      <c r="V118" s="527"/>
    </row>
    <row r="119" spans="2:22" ht="15" customHeight="1" x14ac:dyDescent="0.25">
      <c r="B119" s="1456" t="s">
        <v>1004</v>
      </c>
      <c r="C119" s="1457"/>
      <c r="D119" s="1339"/>
      <c r="E119" s="1339"/>
      <c r="F119" s="1339"/>
      <c r="G119" s="1340"/>
      <c r="H119"/>
      <c r="I119"/>
      <c r="J119" s="335"/>
      <c r="L119" s="449">
        <v>113</v>
      </c>
      <c r="M119" s="450" t="s">
        <v>1005</v>
      </c>
      <c r="N119" s="450">
        <v>2602164.5099999998</v>
      </c>
      <c r="O119" s="450">
        <f>30387.5+30387.5+662391.7+1335775.73+348006.52+194518.13</f>
        <v>2601467.08</v>
      </c>
      <c r="P119" s="452">
        <f t="shared" si="11"/>
        <v>0.99973198081930659</v>
      </c>
      <c r="Q119" s="450">
        <f>35750+35750+779284.35+1571500.86+409419.43+228844.87</f>
        <v>3060549.5100000002</v>
      </c>
      <c r="R119" s="466" t="s">
        <v>724</v>
      </c>
      <c r="S119" s="55"/>
      <c r="T119" s="432"/>
      <c r="U119" s="526"/>
      <c r="V119" s="527"/>
    </row>
    <row r="120" spans="2:22" ht="15" customHeight="1" x14ac:dyDescent="0.25">
      <c r="B120" s="536"/>
      <c r="C120" s="537" t="s">
        <v>1007</v>
      </c>
      <c r="D120" s="538"/>
      <c r="E120" s="539" t="s">
        <v>1008</v>
      </c>
      <c r="F120" s="539" t="s">
        <v>1009</v>
      </c>
      <c r="G120" s="536" t="s">
        <v>1010</v>
      </c>
      <c r="H120"/>
      <c r="I120"/>
      <c r="J120" s="326"/>
      <c r="L120" s="457">
        <v>114</v>
      </c>
      <c r="M120" s="450" t="s">
        <v>1024</v>
      </c>
      <c r="N120" s="450">
        <v>3189422.06</v>
      </c>
      <c r="O120" s="450">
        <f>57672.44+224911.21+932959.21+1479895.12+299051.01</f>
        <v>2994488.99</v>
      </c>
      <c r="P120" s="452">
        <f t="shared" si="11"/>
        <v>0.93888138153782008</v>
      </c>
      <c r="Q120" s="450">
        <f>67849.94+264601.42+1097599.08+1741053.09+351824.72</f>
        <v>3522928.25</v>
      </c>
      <c r="R120" s="466" t="s">
        <v>724</v>
      </c>
      <c r="S120" s="55"/>
      <c r="T120" s="432"/>
      <c r="U120" s="526"/>
      <c r="V120" s="527"/>
    </row>
    <row r="121" spans="2:22" ht="15" customHeight="1" x14ac:dyDescent="0.25">
      <c r="B121" s="540">
        <v>1</v>
      </c>
      <c r="C121" s="1373" t="s">
        <v>722</v>
      </c>
      <c r="D121" s="1374"/>
      <c r="E121" s="1001">
        <v>28103328.84</v>
      </c>
      <c r="F121" s="1180">
        <f>3500000+788472.6</f>
        <v>4288472.5999999996</v>
      </c>
      <c r="G121" s="441">
        <f>F121/E121</f>
        <v>0.15259660606099215</v>
      </c>
      <c r="H121"/>
      <c r="I121"/>
      <c r="J121" s="326"/>
      <c r="K121" s="55"/>
      <c r="L121" s="1168">
        <v>115</v>
      </c>
      <c r="M121" s="1258" t="s">
        <v>1018</v>
      </c>
      <c r="N121" s="1258">
        <v>2718708.68</v>
      </c>
      <c r="O121" s="1258">
        <f>1133787.88+1521935.8+6056.25</f>
        <v>2661779.9299999997</v>
      </c>
      <c r="P121" s="1259">
        <f t="shared" si="11"/>
        <v>0.9790603714113274</v>
      </c>
      <c r="Q121" s="1258">
        <f>1333868.09+1790512.71+7125</f>
        <v>3131505.8</v>
      </c>
      <c r="R121" s="1361" t="s">
        <v>724</v>
      </c>
      <c r="S121" s="55"/>
      <c r="T121" s="432"/>
      <c r="U121" s="529"/>
      <c r="V121" s="527"/>
    </row>
    <row r="122" spans="2:22" ht="15" customHeight="1" x14ac:dyDescent="0.25">
      <c r="B122" s="540">
        <v>2</v>
      </c>
      <c r="C122" s="1472" t="s">
        <v>1013</v>
      </c>
      <c r="D122" s="1473"/>
      <c r="E122" s="135">
        <v>4500000</v>
      </c>
      <c r="F122" s="1321">
        <f>26709.63+956294.47+221608.24+114463.17+41119.09+149112.26+428640.23+1599705.49</f>
        <v>3537652.58</v>
      </c>
      <c r="G122" s="454">
        <f>F122/E122</f>
        <v>0.78614501777777779</v>
      </c>
      <c r="H122"/>
      <c r="I122"/>
      <c r="J122" s="335"/>
      <c r="K122" s="55"/>
      <c r="L122" s="1168">
        <v>116</v>
      </c>
      <c r="M122" s="1258" t="s">
        <v>1030</v>
      </c>
      <c r="N122" s="1258">
        <v>2959554.01</v>
      </c>
      <c r="O122" s="1258">
        <f>39843.75+1789856.03+1061947.24</f>
        <v>2891647.02</v>
      </c>
      <c r="P122" s="1259">
        <f t="shared" si="11"/>
        <v>0.97705499214727975</v>
      </c>
      <c r="Q122" s="1258">
        <f>46875+2105712.97+1249349.69</f>
        <v>3401937.66</v>
      </c>
      <c r="R122" s="1361" t="s">
        <v>724</v>
      </c>
      <c r="S122" s="55"/>
      <c r="T122" s="432"/>
      <c r="U122" s="526"/>
      <c r="V122" s="527"/>
    </row>
    <row r="123" spans="2:22" ht="15" customHeight="1" x14ac:dyDescent="0.25">
      <c r="H123"/>
      <c r="I123"/>
      <c r="J123" s="335"/>
      <c r="K123" s="55"/>
      <c r="L123" s="1375">
        <v>117</v>
      </c>
      <c r="M123" s="1368" t="s">
        <v>1012</v>
      </c>
      <c r="N123" s="1364">
        <v>3214673.96</v>
      </c>
      <c r="O123" s="1369">
        <f>120146.96+1167651.06+1195529.87+51677.45+63203.33</f>
        <v>2598208.6700000004</v>
      </c>
      <c r="P123" s="1360">
        <f>O123/N123</f>
        <v>0.80823396161768157</v>
      </c>
      <c r="Q123" s="1364">
        <f>141349.36+1373707.13+1406505.73+60797+74356.87</f>
        <v>3056716.09</v>
      </c>
      <c r="R123" s="1365" t="s">
        <v>724</v>
      </c>
      <c r="S123" s="55"/>
      <c r="T123" s="432"/>
      <c r="U123" s="526"/>
      <c r="V123" s="527"/>
    </row>
    <row r="124" spans="2:22" ht="15" customHeight="1" x14ac:dyDescent="0.25">
      <c r="C124" s="433"/>
      <c r="D124" s="433"/>
      <c r="E124" s="341"/>
      <c r="F124" s="341"/>
      <c r="J124" s="335"/>
      <c r="K124" s="55"/>
      <c r="L124" s="1375">
        <v>118</v>
      </c>
      <c r="M124" s="1370" t="s">
        <v>1031</v>
      </c>
      <c r="N124" s="1371">
        <v>2769848.17</v>
      </c>
      <c r="O124" s="1369">
        <f>21250+488438.93+1584033.47+565070.99+29859.43</f>
        <v>2688652.82</v>
      </c>
      <c r="P124" s="1360">
        <f>O124/N124</f>
        <v>0.97068599251055698</v>
      </c>
      <c r="Q124" s="1364">
        <f>25000+574634.05+1863568.79+664789.41+35128.75</f>
        <v>3163121</v>
      </c>
      <c r="R124" s="1365" t="s">
        <v>724</v>
      </c>
      <c r="S124" s="55"/>
      <c r="T124" s="432"/>
      <c r="U124" s="526"/>
      <c r="V124" s="527"/>
    </row>
    <row r="125" spans="2:22" ht="15" customHeight="1" x14ac:dyDescent="0.25">
      <c r="F125" s="341"/>
      <c r="J125" s="326"/>
      <c r="K125" s="55"/>
      <c r="L125" s="1179">
        <v>119</v>
      </c>
      <c r="M125" s="327" t="s">
        <v>982</v>
      </c>
      <c r="N125" s="128">
        <v>2636131.7999999998</v>
      </c>
      <c r="O125" s="467">
        <f>879957.56+575778.88+1167965.18</f>
        <v>2623701.62</v>
      </c>
      <c r="P125" s="454">
        <f t="shared" si="11"/>
        <v>0.99528468948328008</v>
      </c>
      <c r="Q125" s="98">
        <f>1035244.2+677386.92+1374076.7</f>
        <v>3086707.8200000003</v>
      </c>
      <c r="R125" s="514" t="s">
        <v>724</v>
      </c>
      <c r="S125" s="55"/>
      <c r="T125" s="432"/>
      <c r="U125" s="526"/>
      <c r="V125" s="527"/>
    </row>
    <row r="126" spans="2:22" ht="15" customHeight="1" x14ac:dyDescent="0.25">
      <c r="B126"/>
      <c r="F126" s="341"/>
      <c r="J126" s="182"/>
      <c r="K126" s="55"/>
      <c r="L126" s="1179">
        <v>120</v>
      </c>
      <c r="M126" s="513" t="s">
        <v>986</v>
      </c>
      <c r="N126" s="233">
        <v>1837857.03</v>
      </c>
      <c r="O126" s="467">
        <f>164605.05+1636496.22</f>
        <v>1801101.27</v>
      </c>
      <c r="P126" s="454">
        <f t="shared" si="11"/>
        <v>0.98000075120097885</v>
      </c>
      <c r="Q126" s="98">
        <f>193653+1925289.68</f>
        <v>2118942.6799999997</v>
      </c>
      <c r="R126" s="514" t="s">
        <v>724</v>
      </c>
      <c r="S126" s="55"/>
      <c r="T126" s="432"/>
      <c r="U126" s="526"/>
      <c r="V126" s="527"/>
    </row>
    <row r="127" spans="2:22" ht="15" customHeight="1" x14ac:dyDescent="0.25">
      <c r="B127"/>
      <c r="J127" s="341"/>
      <c r="K127" s="55"/>
      <c r="L127" s="1179">
        <v>121</v>
      </c>
      <c r="M127" s="528" t="s">
        <v>992</v>
      </c>
      <c r="N127" s="233">
        <v>2527161.91</v>
      </c>
      <c r="O127" s="467">
        <f>50203.13+518072.77</f>
        <v>568275.9</v>
      </c>
      <c r="P127" s="454">
        <f t="shared" si="11"/>
        <v>0.22486723060810931</v>
      </c>
      <c r="Q127" s="98">
        <f>59062.5+609497.38</f>
        <v>668559.88</v>
      </c>
      <c r="R127" s="514" t="s">
        <v>724</v>
      </c>
      <c r="S127" s="55"/>
      <c r="T127" s="432"/>
      <c r="U127" s="526"/>
      <c r="V127" s="527"/>
    </row>
    <row r="128" spans="2:22" ht="15" customHeight="1" x14ac:dyDescent="0.25">
      <c r="B128"/>
      <c r="J128" s="335"/>
      <c r="K128" s="55"/>
      <c r="L128" s="1179">
        <v>122</v>
      </c>
      <c r="M128" s="528" t="s">
        <v>996</v>
      </c>
      <c r="N128" s="233">
        <v>1821443.75</v>
      </c>
      <c r="O128" s="467">
        <f>29325+341632.38+135833.71+81586.4+435523.3+275718.24+255585.55</f>
        <v>1555204.58</v>
      </c>
      <c r="P128" s="454">
        <f t="shared" si="11"/>
        <v>0.85383069337167294</v>
      </c>
      <c r="Q128" s="467">
        <f>34500+401920.45+159804.37+95984+512380.35+324374.4+300688.88</f>
        <v>1829652.4499999997</v>
      </c>
      <c r="R128" s="514" t="s">
        <v>724</v>
      </c>
      <c r="S128" s="55"/>
      <c r="T128" s="432"/>
      <c r="U128" s="526"/>
      <c r="V128" s="527"/>
    </row>
    <row r="129" spans="2:22" ht="15" customHeight="1" x14ac:dyDescent="0.25">
      <c r="B129"/>
      <c r="J129" s="335"/>
      <c r="K129" s="55"/>
      <c r="L129" s="1179">
        <v>123</v>
      </c>
      <c r="M129" s="528" t="s">
        <v>999</v>
      </c>
      <c r="N129" s="233">
        <v>4199999</v>
      </c>
      <c r="O129" s="467">
        <f>32936.14+882264.45+1889248.85+1167459.06</f>
        <v>3971908.5</v>
      </c>
      <c r="P129" s="454">
        <f t="shared" si="11"/>
        <v>0.94569272516493452</v>
      </c>
      <c r="Q129" s="98">
        <f>55500+1486685.38+3183533.75+1967260.86</f>
        <v>6692979.9900000002</v>
      </c>
      <c r="R129" s="514" t="s">
        <v>724</v>
      </c>
      <c r="S129" s="55"/>
      <c r="T129" s="432"/>
      <c r="U129" s="526"/>
      <c r="V129" s="527"/>
    </row>
    <row r="130" spans="2:22" ht="15" customHeight="1" x14ac:dyDescent="0.25">
      <c r="B130"/>
      <c r="J130" s="335"/>
      <c r="K130" s="55"/>
      <c r="L130" s="1179">
        <v>124</v>
      </c>
      <c r="M130" s="528" t="s">
        <v>1002</v>
      </c>
      <c r="N130" s="233">
        <v>2577680</v>
      </c>
      <c r="O130" s="467">
        <f>24719.06+19225.93+381307.09+618801.44+169028.11+969406.64</f>
        <v>2182488.27</v>
      </c>
      <c r="P130" s="454">
        <f t="shared" si="11"/>
        <v>0.84668704804320161</v>
      </c>
      <c r="Q130" s="98">
        <f>29081.25+22618.75+448596.66+728001.83+198856.63+1140478.61</f>
        <v>2567633.7300000004</v>
      </c>
      <c r="R130" s="514" t="s">
        <v>724</v>
      </c>
      <c r="S130" s="55"/>
      <c r="T130" s="542"/>
      <c r="U130" s="542"/>
      <c r="V130" s="542"/>
    </row>
    <row r="131" spans="2:22" ht="15" customHeight="1" x14ac:dyDescent="0.25">
      <c r="B131"/>
      <c r="J131" s="326"/>
      <c r="K131" s="55"/>
      <c r="L131" s="1179">
        <v>125</v>
      </c>
      <c r="M131" s="1310" t="s">
        <v>1003</v>
      </c>
      <c r="N131" s="233">
        <v>1612288.82</v>
      </c>
      <c r="O131" s="467">
        <f>253363.52+327290.04+767670.09+131031.75</f>
        <v>1479355.4</v>
      </c>
      <c r="P131" s="454">
        <f t="shared" si="11"/>
        <v>0.91754987174072189</v>
      </c>
      <c r="Q131" s="98">
        <f>298074.73+385047.11+903141.28+154155</f>
        <v>1740418.12</v>
      </c>
      <c r="R131" s="514" t="s">
        <v>724</v>
      </c>
      <c r="S131" s="55"/>
      <c r="T131" s="542"/>
      <c r="U131" s="542"/>
      <c r="V131" s="542"/>
    </row>
    <row r="132" spans="2:22" ht="15" customHeight="1" x14ac:dyDescent="0.25">
      <c r="B132"/>
      <c r="J132" s="326"/>
      <c r="K132" s="55"/>
      <c r="L132" s="1179">
        <v>126</v>
      </c>
      <c r="M132" s="535" t="s">
        <v>1006</v>
      </c>
      <c r="N132" s="135">
        <v>1737679.97</v>
      </c>
      <c r="O132" s="467">
        <f>518014.16+533983.73+535047.74+62106.85</f>
        <v>1649152.48</v>
      </c>
      <c r="P132" s="454">
        <f t="shared" si="11"/>
        <v>0.94905420357696824</v>
      </c>
      <c r="Q132" s="98">
        <f>609428.42+628216.15+629467.93+73066.88</f>
        <v>1940179.38</v>
      </c>
      <c r="R132" s="514" t="s">
        <v>724</v>
      </c>
      <c r="S132" s="55"/>
      <c r="T132" s="543"/>
      <c r="U132" s="543"/>
      <c r="V132" s="543"/>
    </row>
    <row r="133" spans="2:22" ht="15" customHeight="1" x14ac:dyDescent="0.25">
      <c r="B133"/>
      <c r="J133" s="335"/>
      <c r="K133" s="55"/>
      <c r="L133" s="1357">
        <v>127</v>
      </c>
      <c r="M133" s="535" t="s">
        <v>1011</v>
      </c>
      <c r="N133" s="135">
        <v>3037171.71</v>
      </c>
      <c r="O133" s="467">
        <f>45565.31+331043.66+1697311.01</f>
        <v>2073919.98</v>
      </c>
      <c r="P133" s="454">
        <f t="shared" si="11"/>
        <v>0.68284581117739962</v>
      </c>
      <c r="Q133" s="98">
        <f>53606.25+389463.12+1996836.48</f>
        <v>2439905.85</v>
      </c>
      <c r="R133" s="514" t="s">
        <v>724</v>
      </c>
      <c r="S133" s="55"/>
      <c r="T133" s="544"/>
      <c r="U133" s="482"/>
      <c r="V133" s="545"/>
    </row>
    <row r="134" spans="2:22" ht="15" customHeight="1" x14ac:dyDescent="0.25">
      <c r="B134"/>
      <c r="J134" s="335"/>
      <c r="K134" s="55"/>
      <c r="L134" s="1179">
        <v>128</v>
      </c>
      <c r="M134" s="535" t="s">
        <v>1014</v>
      </c>
      <c r="N134" s="135">
        <v>1401107.02</v>
      </c>
      <c r="O134" s="541">
        <v>0</v>
      </c>
      <c r="P134" s="454">
        <f t="shared" si="11"/>
        <v>0</v>
      </c>
      <c r="Q134" s="98">
        <v>0</v>
      </c>
      <c r="R134" s="1322" t="s">
        <v>724</v>
      </c>
      <c r="S134" s="55"/>
      <c r="T134" s="544"/>
      <c r="U134" s="546"/>
      <c r="V134" s="547"/>
    </row>
    <row r="135" spans="2:22" ht="15" customHeight="1" x14ac:dyDescent="0.25">
      <c r="B135"/>
      <c r="G135" s="549"/>
      <c r="J135" s="335"/>
      <c r="K135" s="55"/>
      <c r="L135" s="1179">
        <v>129</v>
      </c>
      <c r="M135" s="535" t="s">
        <v>1015</v>
      </c>
      <c r="N135" s="135">
        <v>4417403.1500000004</v>
      </c>
      <c r="O135" s="467">
        <v>1229783.01</v>
      </c>
      <c r="P135" s="454">
        <f t="shared" si="11"/>
        <v>0.27839501359526125</v>
      </c>
      <c r="Q135" s="98">
        <v>1446803.54</v>
      </c>
      <c r="R135" s="514" t="s">
        <v>724</v>
      </c>
      <c r="S135" s="55"/>
      <c r="T135" s="542"/>
      <c r="U135" s="542"/>
      <c r="V135" s="542"/>
    </row>
    <row r="136" spans="2:22" ht="15" customHeight="1" x14ac:dyDescent="0.25">
      <c r="B136"/>
      <c r="G136" s="341"/>
      <c r="J136" s="326"/>
      <c r="K136" s="55"/>
      <c r="L136" s="1179">
        <v>130</v>
      </c>
      <c r="M136" s="135" t="s">
        <v>1017</v>
      </c>
      <c r="N136" s="135">
        <v>3807501.66</v>
      </c>
      <c r="O136" s="135">
        <f>71655+414862.7+1632091.49+1575401.7</f>
        <v>3694010.8899999997</v>
      </c>
      <c r="P136" s="1358">
        <f t="shared" si="11"/>
        <v>0.97019285081546081</v>
      </c>
      <c r="Q136" s="135">
        <f>84300+488073.76+1920107.64+1853413.76</f>
        <v>4345895.16</v>
      </c>
      <c r="R136" s="514" t="s">
        <v>724</v>
      </c>
      <c r="S136" s="55"/>
      <c r="T136" s="542"/>
      <c r="U136" s="1240"/>
      <c r="V136" s="542"/>
    </row>
    <row r="137" spans="2:22" ht="15" customHeight="1" x14ac:dyDescent="0.25">
      <c r="B137"/>
      <c r="G137" s="341"/>
      <c r="J137" s="326"/>
      <c r="K137" s="55"/>
      <c r="L137" s="1179">
        <v>131</v>
      </c>
      <c r="M137" s="535" t="s">
        <v>1019</v>
      </c>
      <c r="N137" s="135">
        <v>4291909.83</v>
      </c>
      <c r="O137" s="467">
        <v>623231.55000000005</v>
      </c>
      <c r="P137" s="454">
        <f t="shared" si="11"/>
        <v>0.14521077438385979</v>
      </c>
      <c r="Q137" s="98">
        <v>733213.59</v>
      </c>
      <c r="R137" s="514" t="s">
        <v>724</v>
      </c>
      <c r="S137" s="55"/>
      <c r="T137" s="543"/>
      <c r="U137" s="543"/>
      <c r="V137" s="543"/>
    </row>
    <row r="138" spans="2:22" ht="15" customHeight="1" x14ac:dyDescent="0.25">
      <c r="B138"/>
      <c r="G138" s="341"/>
      <c r="J138" s="335"/>
      <c r="K138" s="55"/>
      <c r="L138" s="1179">
        <v>132</v>
      </c>
      <c r="M138" s="327" t="s">
        <v>1020</v>
      </c>
      <c r="N138" s="128">
        <v>1924934.33</v>
      </c>
      <c r="O138" s="467">
        <f>1275242.23+250808.35+228867.46+61812.8</f>
        <v>1816730.84</v>
      </c>
      <c r="P138" s="454">
        <f t="shared" si="11"/>
        <v>0.94378847718924519</v>
      </c>
      <c r="Q138" s="128">
        <f>1500284.99+295068.64+269255.84+72720.94</f>
        <v>2137330.41</v>
      </c>
      <c r="R138" s="514" t="s">
        <v>724</v>
      </c>
      <c r="S138" s="55"/>
      <c r="T138" s="542"/>
      <c r="U138" s="542"/>
      <c r="V138" s="542"/>
    </row>
    <row r="139" spans="2:22" ht="15" customHeight="1" x14ac:dyDescent="0.25">
      <c r="B139"/>
      <c r="G139" s="341"/>
      <c r="J139" s="335"/>
      <c r="K139" s="55"/>
      <c r="L139" s="1179">
        <v>133</v>
      </c>
      <c r="M139" s="535" t="s">
        <v>1021</v>
      </c>
      <c r="N139" s="135">
        <v>4482380.4400000004</v>
      </c>
      <c r="O139" s="467">
        <f>46452.5+1261625.98+488131.7+837967.4+661453.5+989370.94+118774.68</f>
        <v>4403776.6999999993</v>
      </c>
      <c r="P139" s="454">
        <f t="shared" si="11"/>
        <v>0.98246384012866139</v>
      </c>
      <c r="Q139" s="98">
        <f>54650+1484265.86+574272.58+985844+778180.58+1163965.81+139734.92</f>
        <v>5180913.75</v>
      </c>
      <c r="R139" s="514" t="s">
        <v>724</v>
      </c>
      <c r="S139" s="55"/>
      <c r="T139" s="542"/>
      <c r="U139" s="542"/>
      <c r="V139" s="542"/>
    </row>
    <row r="140" spans="2:22" ht="15" customHeight="1" x14ac:dyDescent="0.25">
      <c r="B140"/>
      <c r="G140" s="341"/>
      <c r="J140" s="335"/>
      <c r="K140" s="55"/>
      <c r="L140" s="1179">
        <v>134</v>
      </c>
      <c r="M140" s="535" t="s">
        <v>1022</v>
      </c>
      <c r="N140" s="135">
        <v>2541256.1800000002</v>
      </c>
      <c r="O140" s="467">
        <f>32130+458088.66+54782.5+1974941.27</f>
        <v>2519942.4299999997</v>
      </c>
      <c r="P140" s="454">
        <f t="shared" si="11"/>
        <v>0.99161290775493538</v>
      </c>
      <c r="Q140" s="98">
        <f>37800+538927.84+64450+2323460.32</f>
        <v>2964638.1599999997</v>
      </c>
      <c r="R140" s="514" t="s">
        <v>724</v>
      </c>
      <c r="S140" s="55"/>
      <c r="T140" s="543"/>
      <c r="U140" s="543"/>
      <c r="V140" s="543"/>
    </row>
    <row r="141" spans="2:22" ht="15" customHeight="1" x14ac:dyDescent="0.25">
      <c r="B141"/>
      <c r="G141" s="341"/>
      <c r="J141" s="326"/>
      <c r="K141" s="55"/>
      <c r="L141" s="1179">
        <v>135</v>
      </c>
      <c r="M141" s="535" t="s">
        <v>1023</v>
      </c>
      <c r="N141" s="135">
        <v>2127292.4900000002</v>
      </c>
      <c r="O141" s="467">
        <f>395071.76+555343.24+262283.1</f>
        <v>1212698.1000000001</v>
      </c>
      <c r="P141" s="454">
        <f t="shared" si="11"/>
        <v>0.57006646039539211</v>
      </c>
      <c r="Q141" s="98">
        <f>464790.31+653344.99+308568.35</f>
        <v>1426703.65</v>
      </c>
      <c r="R141" s="514" t="s">
        <v>724</v>
      </c>
      <c r="S141" s="55"/>
      <c r="T141" s="544"/>
      <c r="U141" s="482"/>
      <c r="V141" s="545"/>
    </row>
    <row r="142" spans="2:22" ht="15" customHeight="1" x14ac:dyDescent="0.25">
      <c r="B142"/>
      <c r="G142" s="341"/>
      <c r="J142" s="182"/>
      <c r="K142" s="55"/>
      <c r="L142" s="1179">
        <v>136</v>
      </c>
      <c r="M142" s="548" t="s">
        <v>1027</v>
      </c>
      <c r="N142" s="135">
        <v>2477717.5099999998</v>
      </c>
      <c r="O142" s="467">
        <f>422804.58+1758636.59</f>
        <v>2181441.17</v>
      </c>
      <c r="P142" s="454">
        <f t="shared" ref="P142:P149" si="19">O142/N142</f>
        <v>0.88042368074478361</v>
      </c>
      <c r="Q142" s="98">
        <f>497417.16+2068984.26</f>
        <v>2566401.42</v>
      </c>
      <c r="R142" s="514" t="s">
        <v>724</v>
      </c>
      <c r="S142" s="55"/>
      <c r="T142" s="542"/>
      <c r="U142" s="542"/>
      <c r="V142" s="542"/>
    </row>
    <row r="143" spans="2:22" ht="15" customHeight="1" x14ac:dyDescent="0.25">
      <c r="B143"/>
      <c r="G143" s="341"/>
      <c r="J143" s="341"/>
      <c r="K143" s="55"/>
      <c r="L143" s="1179">
        <v>137</v>
      </c>
      <c r="M143" s="550" t="s">
        <v>1028</v>
      </c>
      <c r="N143" s="128">
        <v>1946519</v>
      </c>
      <c r="O143" s="467">
        <f>216151.42+262156.54+919461.78+242169.85</f>
        <v>1639939.59</v>
      </c>
      <c r="P143" s="454">
        <f t="shared" si="19"/>
        <v>0.84249862960495125</v>
      </c>
      <c r="Q143" s="128">
        <f>254295.81+308419.48+1081719.81+284905.73</f>
        <v>1929340.83</v>
      </c>
      <c r="R143" s="514" t="s">
        <v>724</v>
      </c>
      <c r="S143" s="55"/>
      <c r="T143" s="542"/>
      <c r="U143" s="542"/>
      <c r="V143" s="542"/>
    </row>
    <row r="144" spans="2:22" ht="15" customHeight="1" x14ac:dyDescent="0.25">
      <c r="B144"/>
      <c r="G144" s="341"/>
      <c r="J144" s="335"/>
      <c r="K144" s="55"/>
      <c r="L144" s="1179">
        <v>138</v>
      </c>
      <c r="M144" s="551" t="s">
        <v>1029</v>
      </c>
      <c r="N144" s="552">
        <v>1994031</v>
      </c>
      <c r="O144" s="467">
        <f>50999.99+1888729.84</f>
        <v>1939729.83</v>
      </c>
      <c r="P144" s="454">
        <f t="shared" si="19"/>
        <v>0.97276814151836155</v>
      </c>
      <c r="Q144" s="98">
        <f>60000+2222035.36</f>
        <v>2282035.36</v>
      </c>
      <c r="R144" s="514" t="s">
        <v>724</v>
      </c>
      <c r="S144" s="55"/>
      <c r="T144" s="542"/>
      <c r="U144" s="542"/>
      <c r="V144" s="542"/>
    </row>
    <row r="145" spans="2:25" ht="15" customHeight="1" x14ac:dyDescent="0.25">
      <c r="B145"/>
      <c r="G145" s="341"/>
      <c r="J145" s="335"/>
      <c r="L145" s="1179">
        <v>139</v>
      </c>
      <c r="M145" s="551" t="s">
        <v>1032</v>
      </c>
      <c r="N145" s="552">
        <v>4135000</v>
      </c>
      <c r="O145" s="552">
        <f>804072.14+2120231.85</f>
        <v>2924303.99</v>
      </c>
      <c r="P145" s="454">
        <f t="shared" si="19"/>
        <v>0.70720773639661427</v>
      </c>
      <c r="Q145" s="552">
        <f>946407.74+2495551.99</f>
        <v>3441959.7300000004</v>
      </c>
      <c r="R145" s="514" t="s">
        <v>724</v>
      </c>
      <c r="S145" s="55"/>
      <c r="T145" s="542"/>
      <c r="U145" s="542"/>
      <c r="V145" s="542"/>
    </row>
    <row r="146" spans="2:25" ht="15" customHeight="1" x14ac:dyDescent="0.25">
      <c r="B146"/>
      <c r="G146" s="341"/>
      <c r="J146" s="335"/>
      <c r="L146" s="1179">
        <v>140</v>
      </c>
      <c r="M146" s="551" t="s">
        <v>1033</v>
      </c>
      <c r="N146" s="552">
        <v>977112</v>
      </c>
      <c r="O146" s="552">
        <f>48131.24+806007.24</f>
        <v>854138.48</v>
      </c>
      <c r="P146" s="454">
        <f t="shared" si="19"/>
        <v>0.87414593209376201</v>
      </c>
      <c r="Q146" s="552">
        <f>56625+948243.99</f>
        <v>1004868.99</v>
      </c>
      <c r="R146" s="514" t="s">
        <v>724</v>
      </c>
      <c r="S146" s="55"/>
      <c r="T146" s="543"/>
      <c r="U146" s="543"/>
      <c r="V146" s="543"/>
    </row>
    <row r="147" spans="2:25" ht="15" customHeight="1" x14ac:dyDescent="0.25">
      <c r="B147"/>
      <c r="J147" s="326"/>
      <c r="L147" s="1179">
        <v>141</v>
      </c>
      <c r="M147" s="551" t="s">
        <v>1036</v>
      </c>
      <c r="N147" s="553">
        <v>2100955.5</v>
      </c>
      <c r="O147" s="552">
        <v>0</v>
      </c>
      <c r="P147" s="454">
        <f t="shared" si="19"/>
        <v>0</v>
      </c>
      <c r="Q147" s="552">
        <v>0</v>
      </c>
      <c r="R147" s="98"/>
      <c r="T147" s="544"/>
      <c r="U147" s="433"/>
      <c r="V147" s="527"/>
    </row>
    <row r="148" spans="2:25" ht="15" customHeight="1" x14ac:dyDescent="0.25">
      <c r="B148"/>
      <c r="J148" s="326"/>
      <c r="L148" s="1179">
        <v>142</v>
      </c>
      <c r="M148" s="551" t="s">
        <v>1037</v>
      </c>
      <c r="N148" s="553">
        <v>2561701.15</v>
      </c>
      <c r="O148" s="552">
        <f>1127829.94+1370965.26</f>
        <v>2498795.2000000002</v>
      </c>
      <c r="P148" s="454">
        <f t="shared" si="19"/>
        <v>0.97544368124283365</v>
      </c>
      <c r="Q148" s="552">
        <f>1326858.75+1612900.31</f>
        <v>2939759.06</v>
      </c>
      <c r="R148" s="98"/>
      <c r="T148" s="544"/>
      <c r="U148" s="433"/>
      <c r="V148" s="527"/>
    </row>
    <row r="149" spans="2:25" ht="15" customHeight="1" x14ac:dyDescent="0.25">
      <c r="B149"/>
      <c r="J149" s="335"/>
      <c r="L149" s="1342" t="s">
        <v>1184</v>
      </c>
      <c r="M149" s="1343"/>
      <c r="N149" s="554">
        <f>SUM(N7:N148)</f>
        <v>368907725.65000004</v>
      </c>
      <c r="O149" s="554">
        <f>SUM(O7:O148)</f>
        <v>323461267.65999997</v>
      </c>
      <c r="P149" s="555">
        <f t="shared" si="19"/>
        <v>0.87680806112172005</v>
      </c>
      <c r="Q149" s="554">
        <f>SUM(Q7:Q148)</f>
        <v>385770024.85000002</v>
      </c>
      <c r="R149" s="554"/>
      <c r="T149" s="544"/>
      <c r="U149" s="433"/>
      <c r="V149" s="527"/>
    </row>
    <row r="150" spans="2:25" ht="15" customHeight="1" x14ac:dyDescent="0.25">
      <c r="B150"/>
      <c r="J150" s="335"/>
      <c r="L150" s="1344"/>
      <c r="M150" s="1344"/>
      <c r="N150" s="1344"/>
      <c r="O150" s="1344"/>
      <c r="P150" s="1344"/>
      <c r="Q150" s="1344"/>
      <c r="R150" s="1344"/>
      <c r="T150" s="473"/>
      <c r="V150" s="525"/>
    </row>
    <row r="151" spans="2:25" ht="15" customHeight="1" x14ac:dyDescent="0.25">
      <c r="B151"/>
      <c r="J151" s="335"/>
      <c r="T151" s="473"/>
      <c r="U151" s="473"/>
      <c r="V151" s="525"/>
    </row>
    <row r="152" spans="2:25" ht="15" customHeight="1" x14ac:dyDescent="0.25">
      <c r="B152"/>
      <c r="J152" s="326"/>
      <c r="L152" s="1453" t="s">
        <v>971</v>
      </c>
      <c r="M152" s="1454"/>
      <c r="N152" s="1341"/>
      <c r="O152" s="1341"/>
      <c r="P152" s="1341"/>
      <c r="R152" s="55"/>
      <c r="T152"/>
      <c r="U152"/>
      <c r="V152"/>
      <c r="W152"/>
      <c r="X152"/>
      <c r="Y152"/>
    </row>
    <row r="153" spans="2:25" ht="15" customHeight="1" x14ac:dyDescent="0.25">
      <c r="B153"/>
      <c r="J153" s="335"/>
      <c r="L153" s="439">
        <v>1</v>
      </c>
      <c r="M153" s="513" t="s">
        <v>2016</v>
      </c>
      <c r="N153" s="128">
        <v>1363877.17</v>
      </c>
      <c r="O153" s="98">
        <v>0</v>
      </c>
      <c r="P153" s="971" t="s">
        <v>2017</v>
      </c>
      <c r="R153" s="55"/>
      <c r="T153"/>
      <c r="U153"/>
      <c r="V153"/>
      <c r="W153"/>
      <c r="X153"/>
      <c r="Y153"/>
    </row>
    <row r="154" spans="2:25" ht="15" customHeight="1" x14ac:dyDescent="0.25">
      <c r="B154"/>
      <c r="J154" s="335"/>
      <c r="Q154" s="112"/>
      <c r="R154" s="112"/>
    </row>
    <row r="155" spans="2:25" ht="15" customHeight="1" x14ac:dyDescent="0.25">
      <c r="B155"/>
      <c r="J155" s="335"/>
      <c r="Q155" s="112"/>
      <c r="R155" s="112"/>
    </row>
    <row r="156" spans="2:25" ht="15" customHeight="1" x14ac:dyDescent="0.25">
      <c r="B156"/>
      <c r="J156" s="326"/>
      <c r="Q156" s="112"/>
      <c r="R156" s="112"/>
    </row>
    <row r="157" spans="2:25" ht="15" customHeight="1" x14ac:dyDescent="0.25">
      <c r="B157"/>
      <c r="J157" s="335"/>
      <c r="Q157" s="112"/>
      <c r="R157" s="112"/>
    </row>
    <row r="158" spans="2:25" ht="15" customHeight="1" x14ac:dyDescent="0.25">
      <c r="B158"/>
      <c r="J158" s="335"/>
      <c r="Q158" s="112"/>
      <c r="R158" s="112"/>
    </row>
    <row r="159" spans="2:25" ht="15" customHeight="1" x14ac:dyDescent="0.25">
      <c r="B159"/>
      <c r="J159" s="326"/>
      <c r="Q159" s="112"/>
      <c r="R159" s="112"/>
    </row>
    <row r="160" spans="2:25" ht="15" customHeight="1" x14ac:dyDescent="0.25">
      <c r="B160"/>
      <c r="Q160" s="112"/>
      <c r="R160" s="112"/>
    </row>
    <row r="161" spans="2:18" ht="15" customHeight="1" x14ac:dyDescent="0.25">
      <c r="B161"/>
      <c r="H161"/>
      <c r="Q161" s="112"/>
      <c r="R161" s="112"/>
    </row>
    <row r="162" spans="2:18" ht="15" customHeight="1" x14ac:dyDescent="0.25">
      <c r="B162"/>
      <c r="I162"/>
    </row>
    <row r="163" spans="2:18" ht="15" customHeight="1" x14ac:dyDescent="0.25">
      <c r="B163"/>
      <c r="H163"/>
      <c r="Q163" s="112"/>
      <c r="R163" s="112"/>
    </row>
    <row r="164" spans="2:18" ht="15" customHeight="1" x14ac:dyDescent="0.25">
      <c r="B164"/>
      <c r="H164"/>
      <c r="I164"/>
      <c r="Q164" s="112"/>
      <c r="R164" s="112"/>
    </row>
    <row r="165" spans="2:18" ht="15" customHeight="1" x14ac:dyDescent="0.25">
      <c r="H165"/>
      <c r="I165"/>
      <c r="J165" s="112"/>
      <c r="L165" s="71"/>
    </row>
    <row r="166" spans="2:18" ht="15" customHeight="1" x14ac:dyDescent="0.25">
      <c r="J166" s="112"/>
      <c r="Q166" s="112"/>
      <c r="R166" s="112"/>
    </row>
    <row r="167" spans="2:18" ht="15" customHeight="1" x14ac:dyDescent="0.25">
      <c r="J167" s="112"/>
    </row>
    <row r="168" spans="2:18" ht="15" customHeight="1" x14ac:dyDescent="0.25"/>
    <row r="169" spans="2:18" ht="15" customHeight="1" x14ac:dyDescent="0.25">
      <c r="J169" s="112"/>
    </row>
    <row r="170" spans="2:18" ht="15" customHeight="1" x14ac:dyDescent="0.25">
      <c r="J170" s="112"/>
    </row>
    <row r="171" spans="2:18" ht="15" customHeight="1" x14ac:dyDescent="0.25">
      <c r="J171" s="112"/>
    </row>
    <row r="172" spans="2:18" ht="15" customHeight="1" x14ac:dyDescent="0.25">
      <c r="J172" s="112"/>
    </row>
    <row r="173" spans="2:18" ht="15" customHeight="1" x14ac:dyDescent="0.25"/>
    <row r="174" spans="2:18" ht="15" customHeight="1" x14ac:dyDescent="0.25">
      <c r="B174"/>
      <c r="H174"/>
      <c r="I174"/>
    </row>
    <row r="175" spans="2:18" ht="15" customHeight="1" x14ac:dyDescent="0.25">
      <c r="H175"/>
      <c r="I175"/>
    </row>
    <row r="176" spans="2:18" ht="15" customHeight="1" x14ac:dyDescent="0.25">
      <c r="H176"/>
      <c r="I176"/>
    </row>
    <row r="177" spans="2:9" ht="15" customHeight="1" x14ac:dyDescent="0.25">
      <c r="H177"/>
    </row>
    <row r="178" spans="2:9" ht="15" customHeight="1" x14ac:dyDescent="0.25">
      <c r="H178"/>
      <c r="I178"/>
    </row>
    <row r="179" spans="2:9" ht="15" customHeight="1" x14ac:dyDescent="0.25">
      <c r="H179"/>
    </row>
    <row r="180" spans="2:9" ht="15" customHeight="1" x14ac:dyDescent="0.25">
      <c r="H180"/>
    </row>
    <row r="181" spans="2:9" ht="15" customHeight="1" x14ac:dyDescent="0.25">
      <c r="B181"/>
    </row>
    <row r="182" spans="2:9" ht="15" customHeight="1" x14ac:dyDescent="0.25">
      <c r="B182"/>
      <c r="H182"/>
    </row>
    <row r="183" spans="2:9" ht="15" customHeight="1" x14ac:dyDescent="0.25">
      <c r="B183"/>
    </row>
    <row r="184" spans="2:9" ht="15" customHeight="1" x14ac:dyDescent="0.25">
      <c r="B184"/>
    </row>
    <row r="185" spans="2:9" ht="15" customHeight="1" x14ac:dyDescent="0.25">
      <c r="B185"/>
    </row>
    <row r="186" spans="2:9" ht="15" customHeight="1" x14ac:dyDescent="0.25">
      <c r="B186"/>
    </row>
    <row r="187" spans="2:9" ht="15" customHeight="1" x14ac:dyDescent="0.25">
      <c r="B187"/>
    </row>
    <row r="188" spans="2:9" ht="15" customHeight="1" x14ac:dyDescent="0.25">
      <c r="B188"/>
    </row>
    <row r="189" spans="2:9" x14ac:dyDescent="0.25">
      <c r="B189"/>
    </row>
    <row r="190" spans="2:9" ht="15" customHeight="1" x14ac:dyDescent="0.25"/>
    <row r="191" spans="2:9" x14ac:dyDescent="0.25">
      <c r="B191"/>
    </row>
    <row r="218" spans="8:9" ht="15" customHeight="1" x14ac:dyDescent="0.25"/>
    <row r="219" spans="8:9" ht="15" customHeight="1" x14ac:dyDescent="0.25">
      <c r="H219"/>
    </row>
    <row r="220" spans="8:9" x14ac:dyDescent="0.25">
      <c r="I220"/>
    </row>
    <row r="227" spans="2:9" ht="15" customHeight="1" x14ac:dyDescent="0.25"/>
    <row r="228" spans="2:9" ht="15" customHeight="1" x14ac:dyDescent="0.25">
      <c r="B228"/>
    </row>
    <row r="229" spans="2:9" x14ac:dyDescent="0.25">
      <c r="B229"/>
    </row>
    <row r="231" spans="2:9" ht="15" customHeight="1" x14ac:dyDescent="0.25"/>
    <row r="232" spans="2:9" ht="15" customHeight="1" x14ac:dyDescent="0.25">
      <c r="I232"/>
    </row>
    <row r="233" spans="2:9" x14ac:dyDescent="0.25">
      <c r="I233"/>
    </row>
    <row r="235" spans="2:9" ht="15" customHeight="1" x14ac:dyDescent="0.25"/>
    <row r="236" spans="2:9" ht="15" customHeight="1" x14ac:dyDescent="0.25">
      <c r="H236"/>
    </row>
    <row r="237" spans="2:9" ht="15" customHeight="1" x14ac:dyDescent="0.25">
      <c r="B237"/>
      <c r="H237"/>
      <c r="I237"/>
    </row>
    <row r="238" spans="2:9" x14ac:dyDescent="0.25">
      <c r="B238"/>
      <c r="I238"/>
    </row>
    <row r="244" spans="2:2" ht="15" customHeight="1" x14ac:dyDescent="0.25"/>
    <row r="245" spans="2:2" ht="15" customHeight="1" x14ac:dyDescent="0.25">
      <c r="B245"/>
    </row>
    <row r="246" spans="2:2" x14ac:dyDescent="0.25">
      <c r="B246"/>
    </row>
  </sheetData>
  <mergeCells count="49">
    <mergeCell ref="C122:D122"/>
    <mergeCell ref="E114:E115"/>
    <mergeCell ref="T101:Y101"/>
    <mergeCell ref="C104:D104"/>
    <mergeCell ref="C105:D105"/>
    <mergeCell ref="C107:D107"/>
    <mergeCell ref="C108:D108"/>
    <mergeCell ref="C106:D106"/>
    <mergeCell ref="F114:F115"/>
    <mergeCell ref="G114:G115"/>
    <mergeCell ref="H114:H115"/>
    <mergeCell ref="C109:D109"/>
    <mergeCell ref="C110:D110"/>
    <mergeCell ref="C111:D111"/>
    <mergeCell ref="C90:D90"/>
    <mergeCell ref="C94:D94"/>
    <mergeCell ref="C95:D95"/>
    <mergeCell ref="C96:D96"/>
    <mergeCell ref="C97:D97"/>
    <mergeCell ref="C91:D91"/>
    <mergeCell ref="C98:D98"/>
    <mergeCell ref="C99:D99"/>
    <mergeCell ref="C100:D100"/>
    <mergeCell ref="C93:D93"/>
    <mergeCell ref="C92:D92"/>
    <mergeCell ref="F54:G54"/>
    <mergeCell ref="F55:G55"/>
    <mergeCell ref="F56:G56"/>
    <mergeCell ref="E43:E45"/>
    <mergeCell ref="F43:G43"/>
    <mergeCell ref="F44:G44"/>
    <mergeCell ref="F45:G45"/>
    <mergeCell ref="B47:G48"/>
    <mergeCell ref="T6:Y6"/>
    <mergeCell ref="B119:C119"/>
    <mergeCell ref="L152:M152"/>
    <mergeCell ref="C49:D49"/>
    <mergeCell ref="E2:F2"/>
    <mergeCell ref="G2:H2"/>
    <mergeCell ref="B6:J6"/>
    <mergeCell ref="L6:R6"/>
    <mergeCell ref="B34:G35"/>
    <mergeCell ref="E54:E56"/>
    <mergeCell ref="B58:G59"/>
    <mergeCell ref="C60:D60"/>
    <mergeCell ref="B61:D61"/>
    <mergeCell ref="C50:D50"/>
    <mergeCell ref="C51:D51"/>
    <mergeCell ref="B52:D52"/>
  </mergeCells>
  <pageMargins left="0.7" right="0.7" top="0.75" bottom="0.75" header="0.3" footer="0.3"/>
  <pageSetup paperSize="8" scale="5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285"/>
  <sheetViews>
    <sheetView tabSelected="1" topLeftCell="H1" zoomScale="80" zoomScaleNormal="80" workbookViewId="0">
      <selection activeCell="Y18" sqref="Y18"/>
    </sheetView>
  </sheetViews>
  <sheetFormatPr defaultColWidth="9.140625" defaultRowHeight="15" x14ac:dyDescent="0.25"/>
  <cols>
    <col min="1" max="1" width="2.42578125" customWidth="1"/>
    <col min="2" max="2" width="4.42578125" customWidth="1"/>
    <col min="3" max="3" width="49.5703125" customWidth="1"/>
    <col min="4" max="4" width="15.42578125" customWidth="1"/>
    <col min="5" max="5" width="17.42578125" customWidth="1"/>
    <col min="6" max="6" width="10.42578125" customWidth="1"/>
    <col min="7" max="7" width="15.42578125" customWidth="1"/>
    <col min="8" max="8" width="4.28515625" customWidth="1"/>
    <col min="9" max="9" width="4.42578125" customWidth="1"/>
    <col min="10" max="10" width="29.85546875" customWidth="1"/>
    <col min="11" max="11" width="15.42578125" customWidth="1"/>
    <col min="12" max="12" width="15.140625" customWidth="1"/>
    <col min="13" max="13" width="10.140625" customWidth="1"/>
    <col min="14" max="14" width="15.42578125" customWidth="1"/>
    <col min="15" max="15" width="7.85546875" customWidth="1"/>
    <col min="17" max="17" width="4.85546875" customWidth="1"/>
    <col min="18" max="18" width="33.85546875" customWidth="1"/>
    <col min="19" max="20" width="15.42578125" customWidth="1"/>
    <col min="21" max="21" width="12.5703125" customWidth="1"/>
    <col min="22" max="22" width="15.42578125" customWidth="1"/>
    <col min="24" max="24" width="4.85546875" customWidth="1"/>
    <col min="25" max="25" width="41" customWidth="1"/>
    <col min="26" max="27" width="15.42578125" customWidth="1"/>
    <col min="28" max="28" width="12.5703125" customWidth="1"/>
    <col min="29" max="29" width="15.42578125" customWidth="1"/>
  </cols>
  <sheetData>
    <row r="1" spans="2:29" ht="18.75" customHeight="1" x14ac:dyDescent="0.25">
      <c r="G1" s="556" t="s">
        <v>2147</v>
      </c>
    </row>
    <row r="2" spans="2:29" s="55" customFormat="1" ht="15" customHeight="1" x14ac:dyDescent="0.25">
      <c r="B2" s="449"/>
      <c r="C2" s="557" t="s">
        <v>707</v>
      </c>
      <c r="I2"/>
      <c r="J2"/>
    </row>
    <row r="3" spans="2:29" s="55" customFormat="1" ht="32.25" customHeight="1" x14ac:dyDescent="0.25">
      <c r="D3" s="434" t="s">
        <v>714</v>
      </c>
      <c r="E3" s="434" t="s">
        <v>715</v>
      </c>
      <c r="F3" s="434" t="s">
        <v>716</v>
      </c>
      <c r="G3" s="434" t="s">
        <v>1038</v>
      </c>
      <c r="I3" s="558"/>
      <c r="J3" s="558"/>
      <c r="K3" s="434" t="s">
        <v>714</v>
      </c>
      <c r="L3" s="434" t="s">
        <v>715</v>
      </c>
      <c r="M3" s="434" t="s">
        <v>716</v>
      </c>
      <c r="N3" s="434" t="s">
        <v>1038</v>
      </c>
      <c r="O3" s="434" t="s">
        <v>718</v>
      </c>
      <c r="S3" s="434" t="s">
        <v>714</v>
      </c>
      <c r="T3" s="434" t="s">
        <v>715</v>
      </c>
      <c r="U3" s="434" t="s">
        <v>716</v>
      </c>
      <c r="V3" s="434" t="s">
        <v>1038</v>
      </c>
      <c r="X3"/>
      <c r="Y3"/>
      <c r="Z3" s="434" t="s">
        <v>714</v>
      </c>
      <c r="AA3" s="434" t="s">
        <v>715</v>
      </c>
      <c r="AB3" s="434" t="s">
        <v>716</v>
      </c>
      <c r="AC3" s="434" t="s">
        <v>1038</v>
      </c>
    </row>
    <row r="4" spans="2:29" s="55" customFormat="1" ht="15" customHeight="1" x14ac:dyDescent="0.25">
      <c r="X4"/>
      <c r="Y4"/>
      <c r="Z4"/>
      <c r="AA4"/>
      <c r="AB4"/>
      <c r="AC4"/>
    </row>
    <row r="5" spans="2:29" s="55" customFormat="1" ht="30.75" customHeight="1" x14ac:dyDescent="0.25">
      <c r="B5" s="1494" t="s">
        <v>1039</v>
      </c>
      <c r="C5" s="1494"/>
      <c r="D5" s="1494"/>
      <c r="E5" s="1494"/>
      <c r="F5" s="1494"/>
      <c r="G5" s="1494"/>
      <c r="I5" s="1494" t="s">
        <v>1040</v>
      </c>
      <c r="J5" s="1495"/>
      <c r="K5" s="1495"/>
      <c r="L5" s="1494"/>
      <c r="M5" s="1494"/>
      <c r="N5" s="1494"/>
      <c r="O5" s="1494"/>
      <c r="Q5" s="1496" t="s">
        <v>1041</v>
      </c>
      <c r="R5" s="1497"/>
      <c r="S5" s="1497"/>
      <c r="T5" s="1497"/>
      <c r="U5" s="1497"/>
      <c r="V5" s="1498"/>
      <c r="X5" s="1496" t="s">
        <v>1042</v>
      </c>
      <c r="Y5" s="1497"/>
      <c r="Z5" s="1497"/>
      <c r="AA5" s="1497"/>
      <c r="AB5" s="1497"/>
      <c r="AC5" s="1498"/>
    </row>
    <row r="6" spans="2:29" s="55" customFormat="1" ht="15" customHeight="1" x14ac:dyDescent="0.25">
      <c r="B6" s="457">
        <v>1</v>
      </c>
      <c r="C6" s="1230" t="s">
        <v>1060</v>
      </c>
      <c r="D6" s="450">
        <v>915917.5</v>
      </c>
      <c r="E6" s="450">
        <v>869550</v>
      </c>
      <c r="F6" s="452">
        <f t="shared" ref="F6:F69" si="0">E6/D6</f>
        <v>0.94937589903020736</v>
      </c>
      <c r="G6" s="450">
        <v>1023000</v>
      </c>
      <c r="H6" s="128"/>
      <c r="I6" s="1168">
        <v>1</v>
      </c>
      <c r="J6" s="1000" t="s">
        <v>1076</v>
      </c>
      <c r="K6" s="997">
        <v>111860</v>
      </c>
      <c r="L6" s="1002">
        <f>82078.13+29781.87</f>
        <v>111860</v>
      </c>
      <c r="M6" s="998">
        <f t="shared" ref="M6:M55" si="1">L6/K6</f>
        <v>1</v>
      </c>
      <c r="N6" s="997">
        <f>96562.51+35037.49</f>
        <v>131600</v>
      </c>
      <c r="O6" s="1196"/>
      <c r="Q6" s="559">
        <v>1</v>
      </c>
      <c r="R6" s="565" t="s">
        <v>1044</v>
      </c>
      <c r="S6" s="566">
        <v>1899000.76</v>
      </c>
      <c r="T6" s="562">
        <f>322349.99</f>
        <v>322349.99</v>
      </c>
      <c r="U6" s="563">
        <f t="shared" ref="U6:U37" si="2">T6/S6</f>
        <v>0.16974716218649644</v>
      </c>
      <c r="V6" s="561">
        <v>460500</v>
      </c>
      <c r="X6" s="559">
        <v>1</v>
      </c>
      <c r="Y6" s="567" t="s">
        <v>1045</v>
      </c>
      <c r="Z6" s="233">
        <v>31284318.09</v>
      </c>
      <c r="AA6" s="568">
        <v>99874.99</v>
      </c>
      <c r="AB6" s="569">
        <f t="shared" ref="AB6:AB14" si="3">AA6/Z6</f>
        <v>3.1924937507883523E-3</v>
      </c>
      <c r="AC6" s="570">
        <v>117500</v>
      </c>
    </row>
    <row r="7" spans="2:29" s="55" customFormat="1" ht="15" customHeight="1" x14ac:dyDescent="0.25">
      <c r="B7" s="559">
        <v>2</v>
      </c>
      <c r="C7" s="560" t="s">
        <v>1043</v>
      </c>
      <c r="D7" s="561">
        <v>1480000</v>
      </c>
      <c r="E7" s="562">
        <f>1418114.33</f>
        <v>1418114.33</v>
      </c>
      <c r="F7" s="563">
        <f t="shared" si="0"/>
        <v>0.95818535810810812</v>
      </c>
      <c r="G7" s="561">
        <f>2049532.44</f>
        <v>2049532.44</v>
      </c>
      <c r="H7" s="1359"/>
      <c r="I7" s="449">
        <v>2</v>
      </c>
      <c r="J7" s="1372" t="s">
        <v>755</v>
      </c>
      <c r="K7" s="1258">
        <v>115694.44</v>
      </c>
      <c r="L7" s="1258">
        <f>94987.49+20049.3</f>
        <v>115036.79000000001</v>
      </c>
      <c r="M7" s="1372">
        <f>L7/K7</f>
        <v>0.99431563003373369</v>
      </c>
      <c r="N7" s="1258">
        <f>111750+23587.41</f>
        <v>135337.41</v>
      </c>
      <c r="O7" s="1171"/>
      <c r="Q7" s="439">
        <f t="shared" ref="Q7:Q35" si="4">1+Q6</f>
        <v>2</v>
      </c>
      <c r="R7" s="565" t="s">
        <v>1048</v>
      </c>
      <c r="S7" s="566">
        <v>5782493.6699999999</v>
      </c>
      <c r="T7" s="562">
        <f>1156498.73+2336085.22</f>
        <v>3492583.95</v>
      </c>
      <c r="U7" s="563">
        <f t="shared" si="2"/>
        <v>0.60399269749654572</v>
      </c>
      <c r="V7" s="561">
        <v>6217881.3499999996</v>
      </c>
      <c r="X7" s="439">
        <f t="shared" ref="X7:X15" si="5">1+X6</f>
        <v>2</v>
      </c>
      <c r="Y7" s="565" t="s">
        <v>761</v>
      </c>
      <c r="Z7" s="1197">
        <v>9000047.1199999992</v>
      </c>
      <c r="AA7" s="568">
        <f>224236.83</f>
        <v>224236.83</v>
      </c>
      <c r="AB7" s="569">
        <f t="shared" si="3"/>
        <v>2.4915072889085052E-2</v>
      </c>
      <c r="AC7" s="570">
        <f>273750</f>
        <v>273750</v>
      </c>
    </row>
    <row r="8" spans="2:29" s="55" customFormat="1" ht="15" customHeight="1" x14ac:dyDescent="0.25">
      <c r="B8" s="439">
        <v>3</v>
      </c>
      <c r="C8" s="560" t="s">
        <v>1046</v>
      </c>
      <c r="D8" s="566">
        <v>1480000</v>
      </c>
      <c r="E8" s="562">
        <v>0</v>
      </c>
      <c r="F8" s="563">
        <f t="shared" si="0"/>
        <v>0</v>
      </c>
      <c r="G8" s="561">
        <v>0</v>
      </c>
      <c r="I8" s="439">
        <f t="shared" ref="I8:I56" si="6">1+I7</f>
        <v>3</v>
      </c>
      <c r="J8" s="1169" t="s">
        <v>946</v>
      </c>
      <c r="K8" s="1170">
        <v>145392.5</v>
      </c>
      <c r="L8" s="573">
        <v>116343.75</v>
      </c>
      <c r="M8" s="574">
        <f t="shared" si="1"/>
        <v>0.80020461853259284</v>
      </c>
      <c r="N8" s="575">
        <v>136875</v>
      </c>
      <c r="O8" s="1003"/>
      <c r="Q8" s="439">
        <f t="shared" si="4"/>
        <v>3</v>
      </c>
      <c r="R8" s="565" t="s">
        <v>1051</v>
      </c>
      <c r="S8" s="566">
        <v>6743226</v>
      </c>
      <c r="T8" s="562">
        <v>2186313.5</v>
      </c>
      <c r="U8" s="563">
        <f t="shared" si="2"/>
        <v>0.32422367276434155</v>
      </c>
      <c r="V8" s="561">
        <v>3123305</v>
      </c>
      <c r="X8" s="439">
        <f t="shared" si="5"/>
        <v>3</v>
      </c>
      <c r="Y8" s="1004" t="s">
        <v>887</v>
      </c>
      <c r="Z8" s="1005">
        <v>12474651.279999999</v>
      </c>
      <c r="AA8" s="1006">
        <v>257018.74</v>
      </c>
      <c r="AB8" s="1007">
        <f t="shared" si="3"/>
        <v>2.0603280543165611E-2</v>
      </c>
      <c r="AC8" s="1008">
        <v>302375</v>
      </c>
    </row>
    <row r="9" spans="2:29" s="55" customFormat="1" ht="15" customHeight="1" x14ac:dyDescent="0.25">
      <c r="B9" s="559">
        <v>4</v>
      </c>
      <c r="C9" s="560" t="s">
        <v>1049</v>
      </c>
      <c r="D9" s="566">
        <v>1480000</v>
      </c>
      <c r="E9" s="562">
        <v>0</v>
      </c>
      <c r="F9" s="563">
        <f t="shared" si="0"/>
        <v>0</v>
      </c>
      <c r="G9" s="561">
        <v>0</v>
      </c>
      <c r="I9" s="439">
        <f t="shared" si="6"/>
        <v>4</v>
      </c>
      <c r="J9" s="551" t="s">
        <v>1047</v>
      </c>
      <c r="K9" s="26">
        <v>377612.5</v>
      </c>
      <c r="L9" s="562">
        <v>244906.25</v>
      </c>
      <c r="M9" s="563">
        <f t="shared" si="1"/>
        <v>0.64856499718626903</v>
      </c>
      <c r="N9" s="561">
        <v>288125</v>
      </c>
      <c r="O9" s="514"/>
      <c r="Q9" s="439">
        <f t="shared" si="4"/>
        <v>4</v>
      </c>
      <c r="R9" s="565" t="s">
        <v>1053</v>
      </c>
      <c r="S9" s="566">
        <v>1337016.58</v>
      </c>
      <c r="T9" s="562">
        <v>294793.44</v>
      </c>
      <c r="U9" s="563">
        <f t="shared" si="2"/>
        <v>0.2204860017517509</v>
      </c>
      <c r="V9" s="561">
        <v>589586.89</v>
      </c>
      <c r="X9" s="439">
        <f t="shared" si="5"/>
        <v>4</v>
      </c>
      <c r="Y9" s="1004" t="s">
        <v>895</v>
      </c>
      <c r="Z9" s="572">
        <v>4480782.1900000004</v>
      </c>
      <c r="AA9" s="1006">
        <v>0</v>
      </c>
      <c r="AB9" s="1007">
        <f t="shared" si="3"/>
        <v>0</v>
      </c>
      <c r="AC9" s="1008">
        <v>0</v>
      </c>
    </row>
    <row r="10" spans="2:29" s="55" customFormat="1" ht="15" customHeight="1" x14ac:dyDescent="0.25">
      <c r="B10" s="439">
        <v>5</v>
      </c>
      <c r="C10" s="560" t="s">
        <v>1052</v>
      </c>
      <c r="D10" s="566">
        <v>1419613.05</v>
      </c>
      <c r="E10" s="562">
        <v>1313250</v>
      </c>
      <c r="F10" s="563">
        <f t="shared" si="0"/>
        <v>0.92507602687929635</v>
      </c>
      <c r="G10" s="561">
        <v>1545000</v>
      </c>
      <c r="I10" s="439">
        <f t="shared" si="6"/>
        <v>5</v>
      </c>
      <c r="J10" s="571" t="s">
        <v>1050</v>
      </c>
      <c r="K10" s="98">
        <v>3737918.93</v>
      </c>
      <c r="L10" s="562">
        <v>0</v>
      </c>
      <c r="M10" s="563">
        <f t="shared" si="1"/>
        <v>0</v>
      </c>
      <c r="N10" s="561">
        <v>0</v>
      </c>
      <c r="O10" s="1003"/>
      <c r="Q10" s="439">
        <f t="shared" si="4"/>
        <v>5</v>
      </c>
      <c r="R10" s="565" t="s">
        <v>1056</v>
      </c>
      <c r="S10" s="566">
        <v>6858026.5</v>
      </c>
      <c r="T10" s="562">
        <v>1164375</v>
      </c>
      <c r="U10" s="563">
        <f t="shared" si="2"/>
        <v>0.16978280850912431</v>
      </c>
      <c r="V10" s="561">
        <v>2328750</v>
      </c>
      <c r="X10" s="439">
        <f t="shared" si="5"/>
        <v>5</v>
      </c>
      <c r="Y10" s="327" t="s">
        <v>910</v>
      </c>
      <c r="Z10" s="561">
        <v>15146402.32</v>
      </c>
      <c r="AA10" s="562">
        <v>0</v>
      </c>
      <c r="AB10" s="569">
        <f t="shared" si="3"/>
        <v>0</v>
      </c>
      <c r="AC10" s="570">
        <v>0</v>
      </c>
    </row>
    <row r="11" spans="2:29" s="55" customFormat="1" ht="15" customHeight="1" x14ac:dyDescent="0.25">
      <c r="B11" s="559">
        <v>6</v>
      </c>
      <c r="C11" s="560" t="s">
        <v>1054</v>
      </c>
      <c r="D11" s="566">
        <v>1050770</v>
      </c>
      <c r="E11" s="562">
        <v>0</v>
      </c>
      <c r="F11" s="563">
        <f t="shared" si="0"/>
        <v>0</v>
      </c>
      <c r="G11" s="561">
        <v>0</v>
      </c>
      <c r="I11" s="439">
        <f t="shared" si="6"/>
        <v>6</v>
      </c>
      <c r="J11" s="571" t="s">
        <v>1055</v>
      </c>
      <c r="K11" s="98">
        <v>164041.49</v>
      </c>
      <c r="L11" s="562">
        <v>0</v>
      </c>
      <c r="M11" s="563">
        <f t="shared" si="1"/>
        <v>0</v>
      </c>
      <c r="N11" s="561">
        <v>0</v>
      </c>
      <c r="O11" s="514"/>
      <c r="Q11" s="439">
        <f t="shared" si="4"/>
        <v>6</v>
      </c>
      <c r="R11" s="565" t="s">
        <v>1059</v>
      </c>
      <c r="S11" s="566">
        <v>7500000</v>
      </c>
      <c r="T11" s="562">
        <v>0</v>
      </c>
      <c r="U11" s="563">
        <f t="shared" si="2"/>
        <v>0</v>
      </c>
      <c r="V11" s="561">
        <v>0</v>
      </c>
      <c r="X11" s="439">
        <f t="shared" si="5"/>
        <v>6</v>
      </c>
      <c r="Y11" s="565" t="s">
        <v>1102</v>
      </c>
      <c r="Z11" s="566">
        <v>10686927.77</v>
      </c>
      <c r="AA11" s="562">
        <v>0</v>
      </c>
      <c r="AB11" s="563">
        <f t="shared" si="3"/>
        <v>0</v>
      </c>
      <c r="AC11" s="570">
        <v>0</v>
      </c>
    </row>
    <row r="12" spans="2:29" s="55" customFormat="1" ht="15" customHeight="1" x14ac:dyDescent="0.25">
      <c r="B12" s="439">
        <v>7</v>
      </c>
      <c r="C12" s="560" t="s">
        <v>1057</v>
      </c>
      <c r="D12" s="566">
        <v>1096072.1599999999</v>
      </c>
      <c r="E12" s="562">
        <v>1064622.1599999999</v>
      </c>
      <c r="F12" s="563">
        <f t="shared" si="0"/>
        <v>0.97130663368003067</v>
      </c>
      <c r="G12" s="561">
        <v>1252496.6599999999</v>
      </c>
      <c r="I12" s="439">
        <f t="shared" si="6"/>
        <v>7</v>
      </c>
      <c r="J12" s="571" t="s">
        <v>1058</v>
      </c>
      <c r="K12" s="98">
        <v>225675</v>
      </c>
      <c r="L12" s="562">
        <v>0</v>
      </c>
      <c r="M12" s="563">
        <f t="shared" si="1"/>
        <v>0</v>
      </c>
      <c r="N12" s="561">
        <v>0</v>
      </c>
      <c r="O12" s="514"/>
      <c r="Q12" s="439">
        <f t="shared" si="4"/>
        <v>7</v>
      </c>
      <c r="R12" s="565" t="s">
        <v>1062</v>
      </c>
      <c r="S12" s="566">
        <v>3952253.5</v>
      </c>
      <c r="T12" s="562">
        <f>3363900</f>
        <v>3363900</v>
      </c>
      <c r="U12" s="563">
        <f t="shared" si="2"/>
        <v>0.85113467544528709</v>
      </c>
      <c r="V12" s="561">
        <f>6727800</f>
        <v>6727800</v>
      </c>
      <c r="X12" s="439">
        <f t="shared" si="5"/>
        <v>7</v>
      </c>
      <c r="Y12" s="327" t="s">
        <v>2093</v>
      </c>
      <c r="Z12" s="561">
        <v>6760817.5499999998</v>
      </c>
      <c r="AA12" s="562">
        <v>0</v>
      </c>
      <c r="AB12" s="563">
        <f t="shared" si="3"/>
        <v>0</v>
      </c>
      <c r="AC12" s="561">
        <v>0</v>
      </c>
    </row>
    <row r="13" spans="2:29" s="55" customFormat="1" ht="15" customHeight="1" x14ac:dyDescent="0.25">
      <c r="B13" s="439">
        <v>8</v>
      </c>
      <c r="C13" s="576" t="s">
        <v>1063</v>
      </c>
      <c r="D13" s="577">
        <v>1132527.1200000001</v>
      </c>
      <c r="E13" s="562">
        <v>0</v>
      </c>
      <c r="F13" s="563">
        <f t="shared" si="0"/>
        <v>0</v>
      </c>
      <c r="G13" s="561">
        <v>0</v>
      </c>
      <c r="I13" s="439">
        <f t="shared" si="6"/>
        <v>8</v>
      </c>
      <c r="J13" s="571" t="s">
        <v>1061</v>
      </c>
      <c r="K13" s="98">
        <v>3141629.86</v>
      </c>
      <c r="L13" s="562">
        <f>281224.2</f>
        <v>281224.2</v>
      </c>
      <c r="M13" s="563">
        <f t="shared" si="1"/>
        <v>8.9515382948391009E-2</v>
      </c>
      <c r="N13" s="561">
        <f>330852.01</f>
        <v>330852.01</v>
      </c>
      <c r="O13" s="1003"/>
      <c r="Q13" s="439">
        <f t="shared" si="4"/>
        <v>8</v>
      </c>
      <c r="R13" s="565" t="s">
        <v>1065</v>
      </c>
      <c r="S13" s="566">
        <v>2142000</v>
      </c>
      <c r="T13" s="562">
        <v>0</v>
      </c>
      <c r="U13" s="563">
        <f t="shared" si="2"/>
        <v>0</v>
      </c>
      <c r="V13" s="561">
        <v>0</v>
      </c>
      <c r="X13" s="439">
        <f t="shared" si="5"/>
        <v>8</v>
      </c>
      <c r="Y13" s="565" t="s">
        <v>785</v>
      </c>
      <c r="Z13" s="566">
        <v>36820203.789999999</v>
      </c>
      <c r="AA13" s="562">
        <v>0</v>
      </c>
      <c r="AB13" s="563">
        <f t="shared" si="3"/>
        <v>0</v>
      </c>
      <c r="AC13" s="561">
        <v>0</v>
      </c>
    </row>
    <row r="14" spans="2:29" s="55" customFormat="1" ht="15" customHeight="1" x14ac:dyDescent="0.25">
      <c r="B14" s="559">
        <v>9</v>
      </c>
      <c r="C14" s="576" t="s">
        <v>1066</v>
      </c>
      <c r="D14" s="98">
        <v>1480000</v>
      </c>
      <c r="E14" s="562">
        <v>1329139</v>
      </c>
      <c r="F14" s="563">
        <f t="shared" si="0"/>
        <v>0.89806689189189193</v>
      </c>
      <c r="G14" s="561">
        <v>1900100</v>
      </c>
      <c r="I14" s="439">
        <f t="shared" si="6"/>
        <v>9</v>
      </c>
      <c r="J14" s="571" t="s">
        <v>1064</v>
      </c>
      <c r="K14" s="98">
        <v>193611.1</v>
      </c>
      <c r="L14" s="562">
        <v>0</v>
      </c>
      <c r="M14" s="563">
        <f t="shared" si="1"/>
        <v>0</v>
      </c>
      <c r="N14" s="561">
        <v>0</v>
      </c>
      <c r="O14" s="514"/>
      <c r="Q14" s="439">
        <f t="shared" si="4"/>
        <v>9</v>
      </c>
      <c r="R14" s="61" t="s">
        <v>1068</v>
      </c>
      <c r="S14" s="578">
        <v>5436089.9900000002</v>
      </c>
      <c r="T14" s="562">
        <v>2662036.79</v>
      </c>
      <c r="U14" s="563">
        <f t="shared" si="2"/>
        <v>0.48969696875823793</v>
      </c>
      <c r="V14" s="561">
        <v>4120800</v>
      </c>
      <c r="X14" s="439">
        <f t="shared" si="5"/>
        <v>9</v>
      </c>
      <c r="Y14" s="327" t="s">
        <v>934</v>
      </c>
      <c r="Z14" s="561">
        <v>30390735.100000001</v>
      </c>
      <c r="AA14" s="562">
        <v>0</v>
      </c>
      <c r="AB14" s="563">
        <f t="shared" si="3"/>
        <v>0</v>
      </c>
      <c r="AC14" s="561">
        <v>0</v>
      </c>
    </row>
    <row r="15" spans="2:29" s="55" customFormat="1" ht="15" customHeight="1" x14ac:dyDescent="0.25">
      <c r="B15" s="439">
        <v>10</v>
      </c>
      <c r="C15" s="576" t="s">
        <v>1069</v>
      </c>
      <c r="D15" s="98">
        <v>1140302.25</v>
      </c>
      <c r="E15" s="562">
        <v>0</v>
      </c>
      <c r="F15" s="563">
        <f t="shared" si="0"/>
        <v>0</v>
      </c>
      <c r="G15" s="561">
        <v>0</v>
      </c>
      <c r="I15" s="439">
        <f t="shared" si="6"/>
        <v>10</v>
      </c>
      <c r="J15" s="571" t="s">
        <v>1067</v>
      </c>
      <c r="K15" s="98">
        <v>291018.75</v>
      </c>
      <c r="L15" s="562">
        <v>0</v>
      </c>
      <c r="M15" s="563">
        <f t="shared" si="1"/>
        <v>0</v>
      </c>
      <c r="N15" s="561">
        <v>0</v>
      </c>
      <c r="O15" s="514"/>
      <c r="Q15" s="439">
        <f t="shared" si="4"/>
        <v>10</v>
      </c>
      <c r="R15" s="61" t="s">
        <v>1049</v>
      </c>
      <c r="S15" s="578">
        <v>2034236.92</v>
      </c>
      <c r="T15" s="562">
        <v>406847.38</v>
      </c>
      <c r="U15" s="563">
        <f t="shared" si="2"/>
        <v>0.1999999980336607</v>
      </c>
      <c r="V15" s="561">
        <v>0</v>
      </c>
      <c r="X15" s="439">
        <f t="shared" si="5"/>
        <v>10</v>
      </c>
      <c r="Y15" s="579"/>
      <c r="Z15" s="561"/>
      <c r="AA15" s="562"/>
      <c r="AB15" s="563"/>
      <c r="AC15" s="561"/>
    </row>
    <row r="16" spans="2:29" s="55" customFormat="1" ht="15" customHeight="1" x14ac:dyDescent="0.25">
      <c r="B16" s="439">
        <v>11</v>
      </c>
      <c r="C16" s="576" t="s">
        <v>1071</v>
      </c>
      <c r="D16" s="98">
        <v>1215223.75</v>
      </c>
      <c r="E16" s="562">
        <v>0</v>
      </c>
      <c r="F16" s="563">
        <f t="shared" si="0"/>
        <v>0</v>
      </c>
      <c r="G16" s="561">
        <v>0</v>
      </c>
      <c r="I16" s="439">
        <f t="shared" si="6"/>
        <v>11</v>
      </c>
      <c r="J16" s="571" t="s">
        <v>1070</v>
      </c>
      <c r="K16" s="98">
        <v>291018.75</v>
      </c>
      <c r="L16" s="562">
        <v>0</v>
      </c>
      <c r="M16" s="563">
        <f t="shared" si="1"/>
        <v>0</v>
      </c>
      <c r="N16" s="561">
        <v>0</v>
      </c>
      <c r="O16" s="514"/>
      <c r="Q16" s="439">
        <f t="shared" si="4"/>
        <v>11</v>
      </c>
      <c r="R16" s="464" t="s">
        <v>1073</v>
      </c>
      <c r="S16" s="578">
        <v>6297781.1699999999</v>
      </c>
      <c r="T16" s="562">
        <v>1259556.23</v>
      </c>
      <c r="U16" s="563">
        <f t="shared" si="2"/>
        <v>0.19999999936485566</v>
      </c>
      <c r="V16" s="561">
        <v>0</v>
      </c>
      <c r="X16" s="1499" t="s">
        <v>1074</v>
      </c>
      <c r="Y16" s="1500"/>
      <c r="Z16" s="1323">
        <f>SUM(Z6:Z15)</f>
        <v>157044885.20999998</v>
      </c>
      <c r="AA16" s="1323">
        <f>SUM(AA6:AA15)</f>
        <v>581130.56000000006</v>
      </c>
      <c r="AB16" s="1324">
        <f>AA16/Z16</f>
        <v>3.7004106133282462E-3</v>
      </c>
      <c r="AC16" s="1323">
        <f>SUM(AC6:AC15)</f>
        <v>693625</v>
      </c>
    </row>
    <row r="17" spans="2:29" s="55" customFormat="1" ht="15" customHeight="1" x14ac:dyDescent="0.25">
      <c r="B17" s="559">
        <v>12</v>
      </c>
      <c r="C17" s="580" t="s">
        <v>1075</v>
      </c>
      <c r="D17" s="577">
        <v>1425207.4</v>
      </c>
      <c r="E17" s="562">
        <v>0</v>
      </c>
      <c r="F17" s="563">
        <f t="shared" si="0"/>
        <v>0</v>
      </c>
      <c r="G17" s="561">
        <v>0</v>
      </c>
      <c r="I17" s="439">
        <f t="shared" si="6"/>
        <v>12</v>
      </c>
      <c r="J17" s="571" t="s">
        <v>1072</v>
      </c>
      <c r="K17" s="98">
        <v>171487.5</v>
      </c>
      <c r="L17" s="562">
        <v>0</v>
      </c>
      <c r="M17" s="563">
        <f t="shared" si="1"/>
        <v>0</v>
      </c>
      <c r="N17" s="561">
        <v>0</v>
      </c>
      <c r="O17" s="514"/>
      <c r="Q17" s="439">
        <f t="shared" si="4"/>
        <v>12</v>
      </c>
      <c r="R17" s="565" t="s">
        <v>1077</v>
      </c>
      <c r="S17" s="566">
        <v>7385782.5</v>
      </c>
      <c r="T17" s="562">
        <f>1945615.95</f>
        <v>1945615.95</v>
      </c>
      <c r="U17" s="563">
        <f t="shared" si="2"/>
        <v>0.26342719271790088</v>
      </c>
      <c r="V17" s="561">
        <f>2882394</f>
        <v>2882394</v>
      </c>
    </row>
    <row r="18" spans="2:29" s="20" customFormat="1" ht="15" customHeight="1" x14ac:dyDescent="0.25">
      <c r="B18" s="439">
        <v>13</v>
      </c>
      <c r="C18" s="580" t="s">
        <v>1078</v>
      </c>
      <c r="D18" s="577">
        <v>512983.5</v>
      </c>
      <c r="E18" s="562">
        <v>0</v>
      </c>
      <c r="F18" s="563">
        <f t="shared" si="0"/>
        <v>0</v>
      </c>
      <c r="G18" s="561">
        <v>0</v>
      </c>
      <c r="I18" s="439">
        <f t="shared" si="6"/>
        <v>13</v>
      </c>
      <c r="J18" s="571" t="s">
        <v>1079</v>
      </c>
      <c r="K18" s="98">
        <v>4240099.83</v>
      </c>
      <c r="L18" s="562">
        <v>0</v>
      </c>
      <c r="M18" s="563">
        <f t="shared" si="1"/>
        <v>0</v>
      </c>
      <c r="N18" s="561">
        <v>0</v>
      </c>
      <c r="O18" s="1003"/>
      <c r="Q18" s="439">
        <f t="shared" si="4"/>
        <v>13</v>
      </c>
      <c r="R18" s="565" t="s">
        <v>1080</v>
      </c>
      <c r="S18" s="566">
        <v>3570049</v>
      </c>
      <c r="T18" s="562">
        <f>1207500.49</f>
        <v>1207500.49</v>
      </c>
      <c r="U18" s="563">
        <f t="shared" si="2"/>
        <v>0.33823078898917075</v>
      </c>
      <c r="V18" s="561">
        <f>1725000.71</f>
        <v>1725000.71</v>
      </c>
      <c r="X18"/>
      <c r="Y18"/>
      <c r="Z18"/>
      <c r="AA18"/>
      <c r="AB18"/>
      <c r="AC18"/>
    </row>
    <row r="19" spans="2:29" s="55" customFormat="1" ht="15" customHeight="1" x14ac:dyDescent="0.25">
      <c r="B19" s="439">
        <v>14</v>
      </c>
      <c r="C19" s="580" t="s">
        <v>1081</v>
      </c>
      <c r="D19" s="577">
        <v>1480000</v>
      </c>
      <c r="E19" s="562">
        <v>0</v>
      </c>
      <c r="F19" s="563">
        <f t="shared" si="0"/>
        <v>0</v>
      </c>
      <c r="G19" s="561">
        <v>0</v>
      </c>
      <c r="I19" s="439">
        <f t="shared" si="6"/>
        <v>14</v>
      </c>
      <c r="J19" s="571" t="s">
        <v>1082</v>
      </c>
      <c r="K19" s="98">
        <v>112200</v>
      </c>
      <c r="L19" s="562">
        <v>0</v>
      </c>
      <c r="M19" s="563">
        <f t="shared" si="1"/>
        <v>0</v>
      </c>
      <c r="N19" s="561">
        <v>0</v>
      </c>
      <c r="O19" s="514"/>
      <c r="Q19" s="439">
        <f t="shared" si="4"/>
        <v>14</v>
      </c>
      <c r="R19" s="464" t="s">
        <v>1083</v>
      </c>
      <c r="S19" s="578">
        <v>3861128.07</v>
      </c>
      <c r="T19" s="562">
        <v>0</v>
      </c>
      <c r="U19" s="563">
        <f t="shared" si="2"/>
        <v>0</v>
      </c>
      <c r="V19" s="561">
        <v>0</v>
      </c>
      <c r="X19"/>
      <c r="Y19"/>
      <c r="Z19"/>
      <c r="AA19"/>
      <c r="AB19"/>
      <c r="AC19"/>
    </row>
    <row r="20" spans="2:29" s="55" customFormat="1" ht="15" customHeight="1" x14ac:dyDescent="0.25">
      <c r="B20" s="559">
        <v>15</v>
      </c>
      <c r="C20" s="580" t="s">
        <v>1084</v>
      </c>
      <c r="D20" s="577">
        <v>1027758.77</v>
      </c>
      <c r="E20" s="562">
        <v>0</v>
      </c>
      <c r="F20" s="563">
        <f t="shared" si="0"/>
        <v>0</v>
      </c>
      <c r="G20" s="561">
        <v>0</v>
      </c>
      <c r="I20" s="439">
        <f t="shared" si="6"/>
        <v>15</v>
      </c>
      <c r="J20" s="571" t="s">
        <v>1085</v>
      </c>
      <c r="K20" s="98">
        <v>168937.5</v>
      </c>
      <c r="L20" s="562">
        <v>153956.25</v>
      </c>
      <c r="M20" s="563">
        <f t="shared" si="1"/>
        <v>0.91132075471698115</v>
      </c>
      <c r="N20" s="561">
        <v>181125</v>
      </c>
      <c r="O20" s="514"/>
      <c r="Q20" s="439">
        <f t="shared" si="4"/>
        <v>15</v>
      </c>
      <c r="R20" s="565" t="s">
        <v>1086</v>
      </c>
      <c r="S20" s="515">
        <v>4635400</v>
      </c>
      <c r="T20" s="562">
        <v>0</v>
      </c>
      <c r="U20" s="563">
        <f t="shared" si="2"/>
        <v>0</v>
      </c>
      <c r="V20" s="561">
        <v>0</v>
      </c>
      <c r="X20" s="1488" t="s">
        <v>1087</v>
      </c>
      <c r="Y20" s="1489"/>
      <c r="Z20" s="1490"/>
      <c r="AA20"/>
      <c r="AB20"/>
      <c r="AC20"/>
    </row>
    <row r="21" spans="2:29" s="55" customFormat="1" ht="15" customHeight="1" x14ac:dyDescent="0.25">
      <c r="B21" s="439">
        <v>16</v>
      </c>
      <c r="C21" s="581" t="s">
        <v>1088</v>
      </c>
      <c r="D21" s="582">
        <v>1469971.89</v>
      </c>
      <c r="E21" s="562">
        <v>0</v>
      </c>
      <c r="F21" s="563">
        <f t="shared" si="0"/>
        <v>0</v>
      </c>
      <c r="G21" s="561">
        <v>0</v>
      </c>
      <c r="I21" s="439">
        <f t="shared" si="6"/>
        <v>16</v>
      </c>
      <c r="J21" s="571" t="s">
        <v>1089</v>
      </c>
      <c r="K21" s="98">
        <v>151937.5</v>
      </c>
      <c r="L21" s="562">
        <v>0</v>
      </c>
      <c r="M21" s="563">
        <f t="shared" si="1"/>
        <v>0</v>
      </c>
      <c r="N21" s="561">
        <v>0</v>
      </c>
      <c r="O21" s="514"/>
      <c r="Q21" s="439">
        <f t="shared" si="4"/>
        <v>16</v>
      </c>
      <c r="R21" s="565" t="s">
        <v>1090</v>
      </c>
      <c r="S21" s="515">
        <v>6955680</v>
      </c>
      <c r="T21" s="562">
        <v>0</v>
      </c>
      <c r="U21" s="563">
        <f t="shared" si="2"/>
        <v>0</v>
      </c>
      <c r="V21" s="561">
        <v>0</v>
      </c>
      <c r="X21" s="1491"/>
      <c r="Y21" s="1492"/>
      <c r="Z21" s="1493"/>
      <c r="AA21"/>
      <c r="AB21"/>
      <c r="AC21"/>
    </row>
    <row r="22" spans="2:29" s="55" customFormat="1" ht="15" customHeight="1" x14ac:dyDescent="0.25">
      <c r="B22" s="439">
        <v>17</v>
      </c>
      <c r="C22" s="580" t="s">
        <v>1091</v>
      </c>
      <c r="D22" s="577">
        <v>1424960</v>
      </c>
      <c r="E22" s="562">
        <v>0</v>
      </c>
      <c r="F22" s="563">
        <f t="shared" si="0"/>
        <v>0</v>
      </c>
      <c r="G22" s="561">
        <v>0</v>
      </c>
      <c r="I22" s="439">
        <f t="shared" si="6"/>
        <v>17</v>
      </c>
      <c r="J22" s="571" t="s">
        <v>1092</v>
      </c>
      <c r="K22" s="98">
        <v>289402.05</v>
      </c>
      <c r="L22" s="562">
        <v>0</v>
      </c>
      <c r="M22" s="563">
        <f t="shared" si="1"/>
        <v>0</v>
      </c>
      <c r="N22" s="561">
        <v>0</v>
      </c>
      <c r="O22" s="514"/>
      <c r="Q22" s="439">
        <f t="shared" si="4"/>
        <v>17</v>
      </c>
      <c r="R22" s="565" t="s">
        <v>1093</v>
      </c>
      <c r="S22" s="515">
        <v>5779830</v>
      </c>
      <c r="T22" s="562">
        <v>0</v>
      </c>
      <c r="U22" s="563">
        <f t="shared" si="2"/>
        <v>0</v>
      </c>
      <c r="V22" s="561">
        <v>0</v>
      </c>
      <c r="X22" s="583" t="s">
        <v>1094</v>
      </c>
      <c r="Y22" s="583" t="s">
        <v>905</v>
      </c>
      <c r="Z22" s="583" t="s">
        <v>1095</v>
      </c>
      <c r="AA22"/>
      <c r="AB22"/>
      <c r="AC22"/>
    </row>
    <row r="23" spans="2:29" s="55" customFormat="1" ht="15" customHeight="1" x14ac:dyDescent="0.25">
      <c r="B23" s="559">
        <v>18</v>
      </c>
      <c r="C23" s="580" t="s">
        <v>1096</v>
      </c>
      <c r="D23" s="577">
        <v>1259700</v>
      </c>
      <c r="E23" s="562">
        <v>0</v>
      </c>
      <c r="F23" s="563">
        <f t="shared" si="0"/>
        <v>0</v>
      </c>
      <c r="G23" s="561">
        <v>0</v>
      </c>
      <c r="I23" s="439">
        <f t="shared" si="6"/>
        <v>18</v>
      </c>
      <c r="J23" s="571" t="s">
        <v>1097</v>
      </c>
      <c r="K23" s="98">
        <v>291018.75</v>
      </c>
      <c r="L23" s="562">
        <v>0</v>
      </c>
      <c r="M23" s="563">
        <f t="shared" si="1"/>
        <v>0</v>
      </c>
      <c r="N23" s="561">
        <v>0</v>
      </c>
      <c r="O23" s="514"/>
      <c r="Q23" s="439">
        <f t="shared" si="4"/>
        <v>18</v>
      </c>
      <c r="R23" s="565" t="s">
        <v>1098</v>
      </c>
      <c r="S23" s="515">
        <v>4583810</v>
      </c>
      <c r="T23" s="562">
        <v>0</v>
      </c>
      <c r="U23" s="563">
        <f t="shared" si="2"/>
        <v>0</v>
      </c>
      <c r="V23" s="561">
        <v>0</v>
      </c>
      <c r="X23" s="559">
        <v>1</v>
      </c>
      <c r="Y23" s="565" t="s">
        <v>840</v>
      </c>
      <c r="Z23" s="566">
        <v>18805420.640000001</v>
      </c>
      <c r="AA23"/>
      <c r="AB23"/>
      <c r="AC23"/>
    </row>
    <row r="24" spans="2:29" s="55" customFormat="1" ht="15" customHeight="1" x14ac:dyDescent="0.25">
      <c r="B24" s="439">
        <v>19</v>
      </c>
      <c r="C24" s="581" t="s">
        <v>1099</v>
      </c>
      <c r="D24" s="582">
        <v>1261864.9099999999</v>
      </c>
      <c r="E24" s="562">
        <v>0</v>
      </c>
      <c r="F24" s="563">
        <f t="shared" si="0"/>
        <v>0</v>
      </c>
      <c r="G24" s="561">
        <v>0</v>
      </c>
      <c r="I24" s="439">
        <f t="shared" si="6"/>
        <v>19</v>
      </c>
      <c r="J24" s="571" t="s">
        <v>1100</v>
      </c>
      <c r="K24" s="98">
        <v>115812.49</v>
      </c>
      <c r="L24" s="562">
        <v>0</v>
      </c>
      <c r="M24" s="563">
        <f t="shared" si="1"/>
        <v>0</v>
      </c>
      <c r="N24" s="561">
        <v>0</v>
      </c>
      <c r="O24" s="514"/>
      <c r="Q24" s="439">
        <f t="shared" si="4"/>
        <v>19</v>
      </c>
      <c r="R24" s="584" t="s">
        <v>1101</v>
      </c>
      <c r="S24" s="515">
        <v>5752221.3099999996</v>
      </c>
      <c r="T24" s="562">
        <v>0</v>
      </c>
      <c r="U24" s="563">
        <f t="shared" si="2"/>
        <v>0</v>
      </c>
      <c r="V24" s="561">
        <v>0</v>
      </c>
      <c r="X24" s="439">
        <v>2</v>
      </c>
      <c r="Y24" s="565"/>
      <c r="Z24" s="566"/>
      <c r="AA24"/>
      <c r="AB24"/>
      <c r="AC24"/>
    </row>
    <row r="25" spans="2:29" s="55" customFormat="1" ht="15" customHeight="1" x14ac:dyDescent="0.25">
      <c r="B25" s="439">
        <v>20</v>
      </c>
      <c r="C25" s="581" t="s">
        <v>1103</v>
      </c>
      <c r="D25" s="582">
        <v>1400090.71</v>
      </c>
      <c r="E25" s="562">
        <f>1376418.09</f>
        <v>1376418.09</v>
      </c>
      <c r="F25" s="563">
        <f t="shared" si="0"/>
        <v>0.98309208122665148</v>
      </c>
      <c r="G25" s="561">
        <v>1619315.42</v>
      </c>
      <c r="I25" s="439">
        <f t="shared" si="6"/>
        <v>20</v>
      </c>
      <c r="J25" s="585" t="s">
        <v>1104</v>
      </c>
      <c r="K25" s="578">
        <v>3512115.53</v>
      </c>
      <c r="L25" s="562">
        <v>0</v>
      </c>
      <c r="M25" s="563">
        <f t="shared" si="1"/>
        <v>0</v>
      </c>
      <c r="N25" s="561">
        <v>0</v>
      </c>
      <c r="O25" s="514"/>
      <c r="Q25" s="439">
        <f t="shared" si="4"/>
        <v>20</v>
      </c>
      <c r="R25" s="584" t="s">
        <v>1105</v>
      </c>
      <c r="S25" s="515">
        <v>7315000</v>
      </c>
      <c r="T25" s="562">
        <v>0</v>
      </c>
      <c r="U25" s="563">
        <f t="shared" si="2"/>
        <v>0</v>
      </c>
      <c r="V25" s="561">
        <v>0</v>
      </c>
      <c r="X25" s="559">
        <v>3</v>
      </c>
      <c r="Y25" s="61"/>
      <c r="Z25" s="61"/>
      <c r="AA25"/>
      <c r="AB25"/>
      <c r="AC25"/>
    </row>
    <row r="26" spans="2:29" s="55" customFormat="1" ht="15" customHeight="1" x14ac:dyDescent="0.25">
      <c r="B26" s="559">
        <v>21</v>
      </c>
      <c r="C26" s="580" t="s">
        <v>1106</v>
      </c>
      <c r="D26" s="577">
        <v>1480000</v>
      </c>
      <c r="E26" s="562">
        <v>0</v>
      </c>
      <c r="F26" s="563">
        <f t="shared" si="0"/>
        <v>0</v>
      </c>
      <c r="G26" s="561">
        <v>0</v>
      </c>
      <c r="I26" s="439">
        <f t="shared" si="6"/>
        <v>21</v>
      </c>
      <c r="J26" s="585" t="s">
        <v>1107</v>
      </c>
      <c r="K26" s="578">
        <v>4378010.1399999997</v>
      </c>
      <c r="L26" s="562">
        <v>0</v>
      </c>
      <c r="M26" s="563">
        <f t="shared" si="1"/>
        <v>0</v>
      </c>
      <c r="N26" s="561">
        <v>0</v>
      </c>
      <c r="O26" s="514"/>
      <c r="Q26" s="439">
        <f t="shared" si="4"/>
        <v>21</v>
      </c>
      <c r="R26" s="565" t="s">
        <v>1108</v>
      </c>
      <c r="S26" s="515">
        <v>4314160</v>
      </c>
      <c r="T26" s="562">
        <v>926027.5</v>
      </c>
      <c r="U26" s="563">
        <f t="shared" si="2"/>
        <v>0.21464839041667438</v>
      </c>
      <c r="V26" s="561">
        <f>1852055</f>
        <v>1852055</v>
      </c>
      <c r="X26" s="559">
        <v>4</v>
      </c>
      <c r="Y26" s="565"/>
      <c r="Z26" s="566"/>
      <c r="AA26"/>
      <c r="AB26"/>
      <c r="AC26"/>
    </row>
    <row r="27" spans="2:29" s="55" customFormat="1" ht="15" customHeight="1" x14ac:dyDescent="0.25">
      <c r="B27" s="439">
        <v>22</v>
      </c>
      <c r="C27" s="580" t="s">
        <v>1110</v>
      </c>
      <c r="D27" s="577">
        <v>1374727.62</v>
      </c>
      <c r="E27" s="562">
        <v>0</v>
      </c>
      <c r="F27" s="563">
        <f t="shared" si="0"/>
        <v>0</v>
      </c>
      <c r="G27" s="561">
        <v>0</v>
      </c>
      <c r="I27" s="439">
        <f t="shared" si="6"/>
        <v>22</v>
      </c>
      <c r="J27" s="598" t="s">
        <v>1111</v>
      </c>
      <c r="K27" s="599">
        <v>115889</v>
      </c>
      <c r="L27" s="589">
        <v>81998.429999999993</v>
      </c>
      <c r="M27" s="590">
        <f t="shared" si="1"/>
        <v>0.70756007904115137</v>
      </c>
      <c r="N27" s="591">
        <f>96468.75</f>
        <v>96468.75</v>
      </c>
      <c r="O27" s="1003"/>
      <c r="Q27" s="439">
        <f t="shared" si="4"/>
        <v>22</v>
      </c>
      <c r="R27" s="588" t="s">
        <v>1112</v>
      </c>
      <c r="S27" s="515">
        <v>7469857.5</v>
      </c>
      <c r="T27" s="562">
        <v>0</v>
      </c>
      <c r="U27" s="563">
        <f t="shared" si="2"/>
        <v>0</v>
      </c>
      <c r="V27" s="561">
        <v>0</v>
      </c>
      <c r="X27" s="559">
        <v>5</v>
      </c>
      <c r="Y27" s="565"/>
      <c r="Z27" s="566"/>
      <c r="AA27"/>
      <c r="AB27"/>
      <c r="AC27"/>
    </row>
    <row r="28" spans="2:29" s="55" customFormat="1" ht="15" customHeight="1" x14ac:dyDescent="0.25">
      <c r="B28" s="439">
        <v>23</v>
      </c>
      <c r="C28" s="581" t="s">
        <v>1113</v>
      </c>
      <c r="D28" s="582">
        <v>1432505</v>
      </c>
      <c r="E28" s="562">
        <v>0</v>
      </c>
      <c r="F28" s="563">
        <f t="shared" si="0"/>
        <v>0</v>
      </c>
      <c r="G28" s="561">
        <v>0</v>
      </c>
      <c r="I28" s="439">
        <f t="shared" si="6"/>
        <v>23</v>
      </c>
      <c r="J28" s="585" t="s">
        <v>1114</v>
      </c>
      <c r="K28" s="578">
        <v>115821</v>
      </c>
      <c r="L28" s="562">
        <f>109331.25</f>
        <v>109331.25</v>
      </c>
      <c r="M28" s="563">
        <f t="shared" si="1"/>
        <v>0.94396741523557903</v>
      </c>
      <c r="N28" s="561">
        <v>128625</v>
      </c>
      <c r="O28" s="514"/>
      <c r="Q28" s="439">
        <f t="shared" si="4"/>
        <v>23</v>
      </c>
      <c r="R28" s="584" t="s">
        <v>1115</v>
      </c>
      <c r="S28" s="515">
        <v>1169035</v>
      </c>
      <c r="T28" s="562">
        <v>0</v>
      </c>
      <c r="U28" s="563">
        <f t="shared" si="2"/>
        <v>0</v>
      </c>
      <c r="V28" s="561">
        <v>0</v>
      </c>
      <c r="X28" s="586"/>
      <c r="Y28" s="586" t="s">
        <v>1109</v>
      </c>
      <c r="Z28" s="587">
        <f>SUM(Z23:Z27)</f>
        <v>18805420.640000001</v>
      </c>
      <c r="AA28"/>
      <c r="AB28"/>
      <c r="AC28"/>
    </row>
    <row r="29" spans="2:29" s="55" customFormat="1" ht="15" customHeight="1" x14ac:dyDescent="0.25">
      <c r="B29" s="559">
        <v>24</v>
      </c>
      <c r="C29" s="581" t="s">
        <v>1116</v>
      </c>
      <c r="D29" s="582">
        <v>1297384.54</v>
      </c>
      <c r="E29" s="562">
        <v>0</v>
      </c>
      <c r="F29" s="563">
        <f t="shared" si="0"/>
        <v>0</v>
      </c>
      <c r="G29" s="561">
        <v>0</v>
      </c>
      <c r="I29" s="439">
        <f t="shared" si="6"/>
        <v>24</v>
      </c>
      <c r="J29" s="61" t="s">
        <v>1117</v>
      </c>
      <c r="K29" s="98">
        <v>320025</v>
      </c>
      <c r="L29" s="562">
        <v>0</v>
      </c>
      <c r="M29" s="563">
        <f t="shared" si="1"/>
        <v>0</v>
      </c>
      <c r="N29" s="561">
        <v>0</v>
      </c>
      <c r="O29" s="514"/>
      <c r="Q29" s="439">
        <f t="shared" si="4"/>
        <v>24</v>
      </c>
      <c r="R29" s="61" t="s">
        <v>1118</v>
      </c>
      <c r="S29" s="98">
        <v>1320037.6499999999</v>
      </c>
      <c r="T29" s="562">
        <v>0</v>
      </c>
      <c r="U29" s="563">
        <f t="shared" si="2"/>
        <v>0</v>
      </c>
      <c r="V29" s="561">
        <v>0</v>
      </c>
      <c r="AA29"/>
      <c r="AB29"/>
      <c r="AC29"/>
    </row>
    <row r="30" spans="2:29" s="55" customFormat="1" ht="15" customHeight="1" x14ac:dyDescent="0.25">
      <c r="B30" s="439">
        <v>25</v>
      </c>
      <c r="C30" s="581" t="s">
        <v>1119</v>
      </c>
      <c r="D30" s="577">
        <v>1079863.8</v>
      </c>
      <c r="E30" s="562">
        <v>0</v>
      </c>
      <c r="F30" s="563">
        <f t="shared" si="0"/>
        <v>0</v>
      </c>
      <c r="G30" s="561">
        <v>0</v>
      </c>
      <c r="I30" s="439">
        <f t="shared" si="6"/>
        <v>25</v>
      </c>
      <c r="J30" s="585" t="s">
        <v>1120</v>
      </c>
      <c r="K30" s="578">
        <v>224931.25</v>
      </c>
      <c r="L30" s="562">
        <v>0</v>
      </c>
      <c r="M30" s="563">
        <f t="shared" si="1"/>
        <v>0</v>
      </c>
      <c r="N30" s="561">
        <v>0</v>
      </c>
      <c r="O30" s="514"/>
      <c r="Q30" s="439">
        <f t="shared" si="4"/>
        <v>25</v>
      </c>
      <c r="R30" s="61" t="s">
        <v>1149</v>
      </c>
      <c r="S30" s="98">
        <v>2818527.06</v>
      </c>
      <c r="T30" s="562">
        <v>0</v>
      </c>
      <c r="U30" s="563">
        <f t="shared" si="2"/>
        <v>0</v>
      </c>
      <c r="V30" s="561">
        <v>0</v>
      </c>
      <c r="X30" s="266"/>
      <c r="Y30" s="266"/>
      <c r="Z30" s="266"/>
      <c r="AA30"/>
      <c r="AB30"/>
      <c r="AC30"/>
    </row>
    <row r="31" spans="2:29" s="55" customFormat="1" ht="15" customHeight="1" x14ac:dyDescent="0.25">
      <c r="B31" s="439">
        <v>26</v>
      </c>
      <c r="C31" s="581" t="s">
        <v>1122</v>
      </c>
      <c r="D31" s="577">
        <v>1042284.16</v>
      </c>
      <c r="E31" s="562">
        <v>0</v>
      </c>
      <c r="F31" s="563">
        <f t="shared" si="0"/>
        <v>0</v>
      </c>
      <c r="G31" s="561">
        <v>0</v>
      </c>
      <c r="I31" s="439">
        <f t="shared" si="6"/>
        <v>26</v>
      </c>
      <c r="J31" s="585" t="s">
        <v>1123</v>
      </c>
      <c r="K31" s="578">
        <v>201284.71</v>
      </c>
      <c r="L31" s="562">
        <f>180093.74</f>
        <v>180093.74</v>
      </c>
      <c r="M31" s="563">
        <f t="shared" si="1"/>
        <v>0.89472141227219892</v>
      </c>
      <c r="N31" s="561">
        <f>211875</f>
        <v>211875</v>
      </c>
      <c r="O31" s="514"/>
      <c r="Q31" s="439">
        <f t="shared" si="4"/>
        <v>26</v>
      </c>
      <c r="R31" s="585" t="s">
        <v>1154</v>
      </c>
      <c r="S31" s="578">
        <v>4037255.1</v>
      </c>
      <c r="T31" s="562">
        <v>0</v>
      </c>
      <c r="U31" s="563">
        <f t="shared" si="2"/>
        <v>0</v>
      </c>
      <c r="V31" s="561">
        <v>0</v>
      </c>
      <c r="X31" s="266"/>
      <c r="Y31" s="266"/>
      <c r="Z31" s="266"/>
      <c r="AA31"/>
      <c r="AB31"/>
      <c r="AC31"/>
    </row>
    <row r="32" spans="2:29" s="55" customFormat="1" ht="15" customHeight="1" x14ac:dyDescent="0.25">
      <c r="B32" s="559">
        <v>27</v>
      </c>
      <c r="C32" s="580" t="s">
        <v>1124</v>
      </c>
      <c r="D32" s="592">
        <v>589475</v>
      </c>
      <c r="E32" s="128">
        <f>544425.25</f>
        <v>544425.25</v>
      </c>
      <c r="F32" s="454">
        <f t="shared" si="0"/>
        <v>0.92357648755248312</v>
      </c>
      <c r="G32" s="128">
        <f>640500.3</f>
        <v>640500.30000000005</v>
      </c>
      <c r="I32" s="439">
        <f t="shared" si="6"/>
        <v>27</v>
      </c>
      <c r="J32" s="61" t="s">
        <v>1125</v>
      </c>
      <c r="K32" s="98">
        <v>149764.60999999999</v>
      </c>
      <c r="L32" s="562">
        <v>0</v>
      </c>
      <c r="M32" s="563">
        <f t="shared" si="1"/>
        <v>0</v>
      </c>
      <c r="N32" s="561">
        <v>0</v>
      </c>
      <c r="O32" s="514"/>
      <c r="Q32" s="439">
        <f t="shared" si="4"/>
        <v>27</v>
      </c>
      <c r="R32" s="61" t="s">
        <v>1152</v>
      </c>
      <c r="S32" s="98">
        <v>2116350</v>
      </c>
      <c r="T32" s="562">
        <v>0</v>
      </c>
      <c r="U32" s="563">
        <f t="shared" si="2"/>
        <v>0</v>
      </c>
      <c r="V32" s="561">
        <v>0</v>
      </c>
      <c r="X32" s="1502" t="s">
        <v>1121</v>
      </c>
      <c r="Y32" s="1503"/>
      <c r="Z32" s="1503"/>
      <c r="AA32" s="1503"/>
      <c r="AB32" s="1503"/>
      <c r="AC32" s="1504"/>
    </row>
    <row r="33" spans="2:30" s="55" customFormat="1" ht="15" customHeight="1" x14ac:dyDescent="0.25">
      <c r="B33" s="439">
        <v>28</v>
      </c>
      <c r="C33" s="581" t="s">
        <v>1126</v>
      </c>
      <c r="D33" s="592">
        <v>512521.66</v>
      </c>
      <c r="E33" s="128">
        <v>0</v>
      </c>
      <c r="F33" s="454">
        <f t="shared" si="0"/>
        <v>0</v>
      </c>
      <c r="G33" s="128">
        <v>0</v>
      </c>
      <c r="I33" s="439">
        <f t="shared" si="6"/>
        <v>28</v>
      </c>
      <c r="J33" s="580" t="s">
        <v>1127</v>
      </c>
      <c r="K33" s="98">
        <v>4490876</v>
      </c>
      <c r="L33" s="562">
        <v>0</v>
      </c>
      <c r="M33" s="563">
        <f t="shared" si="1"/>
        <v>0</v>
      </c>
      <c r="N33" s="561">
        <v>0</v>
      </c>
      <c r="O33" s="514"/>
      <c r="Q33" s="439">
        <f t="shared" si="4"/>
        <v>28</v>
      </c>
      <c r="R33" s="585" t="s">
        <v>1158</v>
      </c>
      <c r="S33" s="578">
        <v>4347000</v>
      </c>
      <c r="T33" s="562">
        <v>0</v>
      </c>
      <c r="U33" s="563">
        <f t="shared" si="2"/>
        <v>0</v>
      </c>
      <c r="V33" s="561">
        <v>0</v>
      </c>
      <c r="X33" s="1505"/>
      <c r="Y33" s="1506"/>
      <c r="Z33" s="1506"/>
      <c r="AA33" s="1506"/>
      <c r="AB33" s="1506"/>
      <c r="AC33" s="1507"/>
    </row>
    <row r="34" spans="2:30" s="55" customFormat="1" ht="15" customHeight="1" x14ac:dyDescent="0.25">
      <c r="B34" s="439">
        <v>29</v>
      </c>
      <c r="C34" s="581" t="s">
        <v>1128</v>
      </c>
      <c r="D34" s="577">
        <v>1396380</v>
      </c>
      <c r="E34" s="128">
        <v>0</v>
      </c>
      <c r="F34" s="454">
        <f t="shared" si="0"/>
        <v>0</v>
      </c>
      <c r="G34" s="128">
        <v>0</v>
      </c>
      <c r="I34" s="439">
        <f t="shared" si="6"/>
        <v>29</v>
      </c>
      <c r="J34" s="61" t="s">
        <v>855</v>
      </c>
      <c r="K34" s="98">
        <v>3677125.89</v>
      </c>
      <c r="L34" s="562">
        <v>0</v>
      </c>
      <c r="M34" s="563">
        <f t="shared" si="1"/>
        <v>0</v>
      </c>
      <c r="N34" s="561">
        <v>0</v>
      </c>
      <c r="O34" s="514"/>
      <c r="Q34" s="439">
        <f t="shared" si="4"/>
        <v>29</v>
      </c>
      <c r="R34" s="585" t="s">
        <v>2018</v>
      </c>
      <c r="S34" s="578">
        <v>3467852.5</v>
      </c>
      <c r="T34" s="562">
        <v>0</v>
      </c>
      <c r="U34" s="563">
        <f t="shared" si="2"/>
        <v>0</v>
      </c>
      <c r="V34" s="561">
        <v>0</v>
      </c>
      <c r="X34" s="1327">
        <v>1</v>
      </c>
      <c r="Y34" s="1362" t="s">
        <v>1049</v>
      </c>
      <c r="Z34" s="1363">
        <v>2194535.06</v>
      </c>
      <c r="AA34" s="589">
        <f>438907.01+40394.39+38340.22+171264.57</f>
        <v>688906.19</v>
      </c>
      <c r="AB34" s="590">
        <f t="shared" ref="AB34:AB40" si="7">AA34/Z34</f>
        <v>0.31391897197577689</v>
      </c>
      <c r="AC34" s="591">
        <f>100415.69+150917.44+1126479.26</f>
        <v>1377812.3900000001</v>
      </c>
    </row>
    <row r="35" spans="2:30" s="55" customFormat="1" ht="15" customHeight="1" x14ac:dyDescent="0.25">
      <c r="B35" s="559">
        <v>30</v>
      </c>
      <c r="C35" s="581" t="s">
        <v>1130</v>
      </c>
      <c r="D35" s="592">
        <v>742210.65</v>
      </c>
      <c r="E35" s="128">
        <v>0</v>
      </c>
      <c r="F35" s="454">
        <f t="shared" si="0"/>
        <v>0</v>
      </c>
      <c r="G35" s="128">
        <v>0</v>
      </c>
      <c r="I35" s="439">
        <f t="shared" si="6"/>
        <v>30</v>
      </c>
      <c r="J35" s="61" t="s">
        <v>1131</v>
      </c>
      <c r="K35" s="98">
        <v>174143.75</v>
      </c>
      <c r="L35" s="562">
        <v>0</v>
      </c>
      <c r="M35" s="563">
        <f t="shared" si="1"/>
        <v>0</v>
      </c>
      <c r="N35" s="561">
        <v>0</v>
      </c>
      <c r="O35" s="514"/>
      <c r="Q35" s="439">
        <f t="shared" si="4"/>
        <v>30</v>
      </c>
      <c r="R35" s="585" t="s">
        <v>2053</v>
      </c>
      <c r="S35" s="561">
        <v>7092000</v>
      </c>
      <c r="T35" s="562">
        <v>0</v>
      </c>
      <c r="U35" s="563">
        <f t="shared" si="2"/>
        <v>0</v>
      </c>
      <c r="V35" s="561">
        <v>0</v>
      </c>
      <c r="X35" s="439">
        <f>1+X34</f>
        <v>2</v>
      </c>
      <c r="Y35" s="551" t="s">
        <v>1066</v>
      </c>
      <c r="Z35" s="561">
        <v>2417391.73</v>
      </c>
      <c r="AA35" s="562">
        <f>27557.29+31643.1</f>
        <v>59200.39</v>
      </c>
      <c r="AB35" s="563">
        <f t="shared" si="7"/>
        <v>2.4489365651962414E-2</v>
      </c>
      <c r="AC35" s="561">
        <f>55114.59+63286.2</f>
        <v>118400.79</v>
      </c>
    </row>
    <row r="36" spans="2:30" s="55" customFormat="1" ht="15" customHeight="1" x14ac:dyDescent="0.25">
      <c r="B36" s="439">
        <v>31</v>
      </c>
      <c r="C36" s="581" t="s">
        <v>1133</v>
      </c>
      <c r="D36" s="577">
        <v>769845</v>
      </c>
      <c r="E36" s="128">
        <v>0</v>
      </c>
      <c r="F36" s="454">
        <f t="shared" si="0"/>
        <v>0</v>
      </c>
      <c r="G36" s="128">
        <v>0</v>
      </c>
      <c r="I36" s="439">
        <f t="shared" si="6"/>
        <v>31</v>
      </c>
      <c r="J36" s="61" t="s">
        <v>1134</v>
      </c>
      <c r="K36" s="98">
        <v>142162.5</v>
      </c>
      <c r="L36" s="562">
        <v>0</v>
      </c>
      <c r="M36" s="563">
        <f t="shared" si="1"/>
        <v>0</v>
      </c>
      <c r="N36" s="561">
        <v>0</v>
      </c>
      <c r="O36" s="564"/>
      <c r="Q36" s="439">
        <v>31</v>
      </c>
      <c r="R36" s="585" t="s">
        <v>2069</v>
      </c>
      <c r="S36" s="561">
        <v>2589999.9900000002</v>
      </c>
      <c r="T36" s="562">
        <v>0</v>
      </c>
      <c r="U36" s="563">
        <f t="shared" si="2"/>
        <v>0</v>
      </c>
      <c r="V36" s="561">
        <v>0</v>
      </c>
      <c r="X36" s="439">
        <f>1+X35</f>
        <v>3</v>
      </c>
      <c r="Y36" s="565" t="s">
        <v>1129</v>
      </c>
      <c r="Z36" s="566">
        <v>4464235.8</v>
      </c>
      <c r="AA36" s="562">
        <f>79654.88+892847.16</f>
        <v>972502.04</v>
      </c>
      <c r="AB36" s="563">
        <f t="shared" si="7"/>
        <v>0.21784289261781381</v>
      </c>
      <c r="AC36" s="561">
        <v>159309.76000000001</v>
      </c>
    </row>
    <row r="37" spans="2:30" s="55" customFormat="1" ht="15" customHeight="1" x14ac:dyDescent="0.25">
      <c r="B37" s="439">
        <v>32</v>
      </c>
      <c r="C37" s="581" t="s">
        <v>1136</v>
      </c>
      <c r="D37" s="577">
        <v>1480000</v>
      </c>
      <c r="E37" s="128">
        <v>0</v>
      </c>
      <c r="F37" s="454">
        <f t="shared" si="0"/>
        <v>0</v>
      </c>
      <c r="G37" s="128">
        <v>0</v>
      </c>
      <c r="H37"/>
      <c r="I37" s="439">
        <f t="shared" si="6"/>
        <v>32</v>
      </c>
      <c r="J37" s="580" t="s">
        <v>1137</v>
      </c>
      <c r="K37" s="98">
        <v>3795655.87</v>
      </c>
      <c r="L37" s="562">
        <v>0</v>
      </c>
      <c r="M37" s="563">
        <f t="shared" si="1"/>
        <v>0</v>
      </c>
      <c r="N37" s="561">
        <v>0</v>
      </c>
      <c r="O37" s="564"/>
      <c r="Q37" s="1508" t="s">
        <v>1074</v>
      </c>
      <c r="R37" s="1509" t="s">
        <v>1074</v>
      </c>
      <c r="S37" s="1323">
        <f>SUM(S6:S36)</f>
        <v>140563100.77000001</v>
      </c>
      <c r="T37" s="1323">
        <f>SUM(T6:T36)</f>
        <v>19231900.220000003</v>
      </c>
      <c r="U37" s="1324">
        <f t="shared" si="2"/>
        <v>0.1368204038943954</v>
      </c>
      <c r="V37" s="1323">
        <f>SUM(V6:V36)</f>
        <v>30028072.950000003</v>
      </c>
      <c r="X37" s="439">
        <f>1+X36</f>
        <v>4</v>
      </c>
      <c r="Y37" s="565" t="s">
        <v>1132</v>
      </c>
      <c r="Z37" s="566">
        <v>3000219.52</v>
      </c>
      <c r="AA37" s="562">
        <v>0</v>
      </c>
      <c r="AB37" s="563">
        <f t="shared" si="7"/>
        <v>0</v>
      </c>
      <c r="AC37" s="561">
        <v>0</v>
      </c>
    </row>
    <row r="38" spans="2:30" s="55" customFormat="1" ht="15" customHeight="1" x14ac:dyDescent="0.25">
      <c r="B38" s="559">
        <v>33</v>
      </c>
      <c r="C38" s="581" t="s">
        <v>1138</v>
      </c>
      <c r="D38" s="577">
        <v>1480000</v>
      </c>
      <c r="E38" s="128">
        <v>0</v>
      </c>
      <c r="F38" s="454">
        <f t="shared" si="0"/>
        <v>0</v>
      </c>
      <c r="G38" s="128">
        <v>0</v>
      </c>
      <c r="H38"/>
      <c r="I38" s="439">
        <f t="shared" si="6"/>
        <v>33</v>
      </c>
      <c r="J38" s="585" t="s">
        <v>796</v>
      </c>
      <c r="K38" s="578">
        <v>3706619.83</v>
      </c>
      <c r="L38" s="562">
        <v>0</v>
      </c>
      <c r="M38" s="563">
        <f t="shared" si="1"/>
        <v>0</v>
      </c>
      <c r="N38" s="561">
        <v>0</v>
      </c>
      <c r="O38" s="514"/>
      <c r="Q38"/>
      <c r="R38"/>
      <c r="S38"/>
      <c r="T38"/>
      <c r="U38"/>
      <c r="V38"/>
      <c r="X38" s="439">
        <f>1+X37</f>
        <v>5</v>
      </c>
      <c r="Y38" s="565" t="s">
        <v>1135</v>
      </c>
      <c r="Z38" s="566">
        <v>3305304.76</v>
      </c>
      <c r="AA38" s="562">
        <f>84999.99</f>
        <v>84999.99</v>
      </c>
      <c r="AB38" s="563">
        <f t="shared" si="7"/>
        <v>2.5716233803505614E-2</v>
      </c>
      <c r="AC38" s="561">
        <f>170000</f>
        <v>170000</v>
      </c>
    </row>
    <row r="39" spans="2:30" s="55" customFormat="1" ht="15" customHeight="1" x14ac:dyDescent="0.25">
      <c r="B39" s="439">
        <v>34</v>
      </c>
      <c r="C39" s="581" t="s">
        <v>1139</v>
      </c>
      <c r="D39" s="577">
        <v>1480000</v>
      </c>
      <c r="E39" s="128">
        <v>0</v>
      </c>
      <c r="F39" s="454">
        <f t="shared" si="0"/>
        <v>0</v>
      </c>
      <c r="G39" s="128">
        <v>0</v>
      </c>
      <c r="H39"/>
      <c r="I39" s="439">
        <f t="shared" si="6"/>
        <v>34</v>
      </c>
      <c r="J39" s="580" t="s">
        <v>1140</v>
      </c>
      <c r="K39" s="98">
        <v>3350234.2</v>
      </c>
      <c r="L39" s="562">
        <v>0</v>
      </c>
      <c r="M39" s="563">
        <f t="shared" si="1"/>
        <v>0</v>
      </c>
      <c r="N39" s="561">
        <v>0</v>
      </c>
      <c r="O39" s="514"/>
      <c r="Q39"/>
      <c r="R39"/>
      <c r="S39"/>
      <c r="T39"/>
      <c r="U39"/>
      <c r="V39"/>
      <c r="X39" s="593">
        <v>6</v>
      </c>
      <c r="Y39" s="551" t="s">
        <v>2033</v>
      </c>
      <c r="Z39" s="26">
        <v>49031976.07</v>
      </c>
      <c r="AA39" s="562">
        <v>0</v>
      </c>
      <c r="AB39" s="563">
        <f t="shared" si="7"/>
        <v>0</v>
      </c>
      <c r="AC39" s="561">
        <v>0</v>
      </c>
    </row>
    <row r="40" spans="2:30" s="55" customFormat="1" ht="15" customHeight="1" x14ac:dyDescent="0.25">
      <c r="B40" s="439">
        <v>35</v>
      </c>
      <c r="C40" s="581" t="s">
        <v>1141</v>
      </c>
      <c r="D40" s="577">
        <v>1379592.5</v>
      </c>
      <c r="E40" s="128">
        <v>0</v>
      </c>
      <c r="F40" s="454">
        <f t="shared" si="0"/>
        <v>0</v>
      </c>
      <c r="G40" s="128">
        <v>0</v>
      </c>
      <c r="H40"/>
      <c r="I40" s="439">
        <f t="shared" si="6"/>
        <v>35</v>
      </c>
      <c r="J40" s="61" t="s">
        <v>1142</v>
      </c>
      <c r="K40" s="98">
        <v>115600</v>
      </c>
      <c r="L40" s="562">
        <v>0</v>
      </c>
      <c r="M40" s="563">
        <f t="shared" si="1"/>
        <v>0</v>
      </c>
      <c r="N40" s="561">
        <v>0</v>
      </c>
      <c r="O40" s="514"/>
      <c r="Q40"/>
      <c r="R40"/>
      <c r="S40"/>
      <c r="T40"/>
      <c r="U40"/>
      <c r="V40"/>
      <c r="X40" s="439">
        <v>7</v>
      </c>
      <c r="Y40" s="327" t="s">
        <v>2123</v>
      </c>
      <c r="Z40" s="561">
        <v>12131003.82</v>
      </c>
      <c r="AA40" s="562">
        <v>0</v>
      </c>
      <c r="AB40" s="563">
        <f t="shared" si="7"/>
        <v>0</v>
      </c>
      <c r="AC40" s="561">
        <v>0</v>
      </c>
    </row>
    <row r="41" spans="2:30" s="55" customFormat="1" ht="15" customHeight="1" x14ac:dyDescent="0.25">
      <c r="B41" s="559">
        <v>36</v>
      </c>
      <c r="C41" s="61" t="s">
        <v>1143</v>
      </c>
      <c r="D41" s="577">
        <v>1025376.32</v>
      </c>
      <c r="E41" s="128">
        <v>0</v>
      </c>
      <c r="F41" s="454">
        <f t="shared" si="0"/>
        <v>0</v>
      </c>
      <c r="G41" s="128">
        <v>0</v>
      </c>
      <c r="H41"/>
      <c r="I41" s="439">
        <f t="shared" si="6"/>
        <v>36</v>
      </c>
      <c r="J41" s="580" t="s">
        <v>1144</v>
      </c>
      <c r="K41" s="98">
        <v>147805.54</v>
      </c>
      <c r="L41" s="562">
        <v>0</v>
      </c>
      <c r="M41" s="563">
        <f t="shared" si="1"/>
        <v>0</v>
      </c>
      <c r="N41" s="561">
        <v>0</v>
      </c>
      <c r="O41" s="514"/>
      <c r="Q41"/>
      <c r="R41"/>
      <c r="S41"/>
      <c r="T41"/>
      <c r="U41"/>
      <c r="V41"/>
      <c r="X41" s="439">
        <v>8</v>
      </c>
      <c r="Y41" s="327"/>
      <c r="Z41" s="561"/>
      <c r="AA41" s="562"/>
      <c r="AB41" s="563"/>
      <c r="AC41" s="561"/>
    </row>
    <row r="42" spans="2:30" s="55" customFormat="1" ht="15" customHeight="1" x14ac:dyDescent="0.25">
      <c r="B42" s="439">
        <v>37</v>
      </c>
      <c r="C42" s="61" t="s">
        <v>1145</v>
      </c>
      <c r="D42" s="98">
        <v>1273797.93</v>
      </c>
      <c r="E42" s="128">
        <v>0</v>
      </c>
      <c r="F42" s="454">
        <f t="shared" si="0"/>
        <v>0</v>
      </c>
      <c r="G42" s="128">
        <v>0</v>
      </c>
      <c r="H42"/>
      <c r="I42" s="439">
        <f t="shared" si="6"/>
        <v>37</v>
      </c>
      <c r="J42" s="61" t="s">
        <v>1146</v>
      </c>
      <c r="K42" s="98">
        <v>204236.1</v>
      </c>
      <c r="L42" s="562">
        <v>0</v>
      </c>
      <c r="M42" s="563">
        <f t="shared" si="1"/>
        <v>0</v>
      </c>
      <c r="N42" s="561">
        <v>0</v>
      </c>
      <c r="O42" s="514"/>
      <c r="Q42"/>
      <c r="R42"/>
      <c r="S42"/>
      <c r="T42"/>
      <c r="U42"/>
      <c r="V42"/>
      <c r="X42" s="439">
        <f>1+X41</f>
        <v>9</v>
      </c>
      <c r="Y42" s="327"/>
      <c r="Z42" s="561"/>
      <c r="AA42" s="562"/>
      <c r="AB42" s="563"/>
      <c r="AC42" s="561"/>
    </row>
    <row r="43" spans="2:30" s="55" customFormat="1" ht="15" customHeight="1" x14ac:dyDescent="0.25">
      <c r="B43" s="439">
        <v>38</v>
      </c>
      <c r="C43" s="61" t="s">
        <v>1147</v>
      </c>
      <c r="D43" s="98">
        <v>370855</v>
      </c>
      <c r="E43" s="128">
        <v>0</v>
      </c>
      <c r="F43" s="454">
        <f t="shared" si="0"/>
        <v>0</v>
      </c>
      <c r="G43" s="128">
        <v>0</v>
      </c>
      <c r="H43"/>
      <c r="I43" s="439">
        <f t="shared" si="6"/>
        <v>38</v>
      </c>
      <c r="J43" s="61" t="s">
        <v>1148</v>
      </c>
      <c r="K43" s="98">
        <v>4216731.95</v>
      </c>
      <c r="L43" s="562">
        <v>0</v>
      </c>
      <c r="M43" s="563">
        <f t="shared" si="1"/>
        <v>0</v>
      </c>
      <c r="N43" s="561">
        <v>0</v>
      </c>
      <c r="O43" s="514"/>
      <c r="Q43"/>
      <c r="R43"/>
      <c r="S43"/>
      <c r="T43"/>
      <c r="U43"/>
      <c r="V43"/>
      <c r="X43" s="439">
        <f>1+X42</f>
        <v>10</v>
      </c>
      <c r="Y43" s="579"/>
      <c r="Z43" s="561"/>
      <c r="AA43" s="562"/>
      <c r="AB43" s="563"/>
      <c r="AC43" s="561"/>
    </row>
    <row r="44" spans="2:30" s="55" customFormat="1" ht="15" customHeight="1" x14ac:dyDescent="0.25">
      <c r="B44" s="559">
        <v>39</v>
      </c>
      <c r="C44" s="580" t="s">
        <v>1150</v>
      </c>
      <c r="D44" s="577">
        <v>858500</v>
      </c>
      <c r="E44" s="128">
        <v>0</v>
      </c>
      <c r="F44" s="454">
        <f t="shared" si="0"/>
        <v>0</v>
      </c>
      <c r="G44" s="128">
        <v>0</v>
      </c>
      <c r="H44"/>
      <c r="I44" s="439">
        <f t="shared" si="6"/>
        <v>39</v>
      </c>
      <c r="J44" s="580" t="s">
        <v>1151</v>
      </c>
      <c r="K44" s="98">
        <v>4296990.03</v>
      </c>
      <c r="L44" s="562">
        <v>0</v>
      </c>
      <c r="M44" s="563">
        <f t="shared" si="1"/>
        <v>0</v>
      </c>
      <c r="N44" s="561">
        <v>0</v>
      </c>
      <c r="O44" s="514"/>
      <c r="Q44"/>
      <c r="R44"/>
      <c r="S44"/>
      <c r="T44"/>
      <c r="U44"/>
      <c r="V44"/>
      <c r="X44" s="1508" t="s">
        <v>1074</v>
      </c>
      <c r="Y44" s="1509" t="s">
        <v>1074</v>
      </c>
      <c r="Z44" s="1323">
        <f>SUM(Z34:Z43)</f>
        <v>76544666.75999999</v>
      </c>
      <c r="AA44" s="1323">
        <f>SUM(AA34:AA43)</f>
        <v>1805608.61</v>
      </c>
      <c r="AB44" s="1324">
        <f>AA44/Z44</f>
        <v>2.3588953828244483E-2</v>
      </c>
      <c r="AC44" s="1323">
        <f>SUM(AC34:AC43)</f>
        <v>1825522.9400000002</v>
      </c>
    </row>
    <row r="45" spans="2:30" s="55" customFormat="1" ht="15" customHeight="1" x14ac:dyDescent="0.25">
      <c r="B45" s="439">
        <v>40</v>
      </c>
      <c r="C45" s="581" t="s">
        <v>1149</v>
      </c>
      <c r="D45" s="577">
        <v>1480000</v>
      </c>
      <c r="E45" s="128">
        <v>0</v>
      </c>
      <c r="F45" s="454">
        <f t="shared" si="0"/>
        <v>0</v>
      </c>
      <c r="G45" s="128">
        <v>0</v>
      </c>
      <c r="H45"/>
      <c r="I45" s="439">
        <f t="shared" si="6"/>
        <v>40</v>
      </c>
      <c r="J45" s="61" t="s">
        <v>1153</v>
      </c>
      <c r="K45" s="98">
        <v>3725060.98</v>
      </c>
      <c r="L45" s="562">
        <v>0</v>
      </c>
      <c r="M45" s="563">
        <f t="shared" si="1"/>
        <v>0</v>
      </c>
      <c r="N45" s="561">
        <v>0</v>
      </c>
      <c r="O45" s="514"/>
      <c r="Q45"/>
      <c r="R45"/>
      <c r="S45"/>
      <c r="T45"/>
      <c r="U45"/>
      <c r="V45"/>
      <c r="X45"/>
      <c r="Y45"/>
      <c r="Z45"/>
      <c r="AA45"/>
      <c r="AB45"/>
      <c r="AC45"/>
    </row>
    <row r="46" spans="2:30" s="55" customFormat="1" ht="15" customHeight="1" x14ac:dyDescent="0.25">
      <c r="B46" s="439">
        <v>41</v>
      </c>
      <c r="C46" s="61" t="s">
        <v>1156</v>
      </c>
      <c r="D46" s="98">
        <v>1279462.5</v>
      </c>
      <c r="E46" s="128">
        <v>0</v>
      </c>
      <c r="F46" s="454">
        <f t="shared" si="0"/>
        <v>0</v>
      </c>
      <c r="G46" s="128">
        <v>0</v>
      </c>
      <c r="H46"/>
      <c r="I46" s="439">
        <f t="shared" si="6"/>
        <v>41</v>
      </c>
      <c r="J46" s="585" t="s">
        <v>1157</v>
      </c>
      <c r="K46" s="578">
        <v>145000</v>
      </c>
      <c r="L46" s="562">
        <v>0</v>
      </c>
      <c r="M46" s="563">
        <f t="shared" si="1"/>
        <v>0</v>
      </c>
      <c r="N46" s="561">
        <v>0</v>
      </c>
      <c r="O46" s="514"/>
      <c r="Q46"/>
      <c r="R46"/>
      <c r="S46"/>
      <c r="T46"/>
      <c r="U46"/>
      <c r="V46"/>
      <c r="X46"/>
      <c r="Y46"/>
      <c r="Z46"/>
      <c r="AA46"/>
      <c r="AB46"/>
      <c r="AC46"/>
    </row>
    <row r="47" spans="2:30" s="55" customFormat="1" ht="15" customHeight="1" x14ac:dyDescent="0.25">
      <c r="B47" s="559">
        <v>42</v>
      </c>
      <c r="C47" s="596" t="s">
        <v>1159</v>
      </c>
      <c r="D47" s="597">
        <v>1480000</v>
      </c>
      <c r="E47" s="440">
        <v>0</v>
      </c>
      <c r="F47" s="441">
        <f t="shared" si="0"/>
        <v>0</v>
      </c>
      <c r="G47" s="440">
        <v>0</v>
      </c>
      <c r="H47"/>
      <c r="I47" s="439">
        <f t="shared" si="6"/>
        <v>42</v>
      </c>
      <c r="J47" s="585" t="s">
        <v>1160</v>
      </c>
      <c r="K47" s="578">
        <v>2895712.52</v>
      </c>
      <c r="L47" s="562">
        <v>0</v>
      </c>
      <c r="M47" s="563">
        <f t="shared" si="1"/>
        <v>0</v>
      </c>
      <c r="N47" s="561">
        <v>0</v>
      </c>
      <c r="O47" s="514"/>
      <c r="Q47"/>
      <c r="R47"/>
      <c r="S47"/>
      <c r="T47"/>
      <c r="U47"/>
      <c r="V47"/>
      <c r="X47" s="1488" t="s">
        <v>1155</v>
      </c>
      <c r="Y47" s="1489"/>
      <c r="Z47" s="1490"/>
      <c r="AA47"/>
      <c r="AB47"/>
      <c r="AC47"/>
    </row>
    <row r="48" spans="2:30" s="55" customFormat="1" ht="15" customHeight="1" x14ac:dyDescent="0.25">
      <c r="B48" s="439">
        <v>43</v>
      </c>
      <c r="C48" s="61" t="s">
        <v>1161</v>
      </c>
      <c r="D48" s="98">
        <v>1480000</v>
      </c>
      <c r="E48" s="128">
        <v>0</v>
      </c>
      <c r="F48" s="454">
        <f t="shared" si="0"/>
        <v>0</v>
      </c>
      <c r="G48" s="128">
        <v>0</v>
      </c>
      <c r="H48"/>
      <c r="I48" s="439">
        <f t="shared" si="6"/>
        <v>43</v>
      </c>
      <c r="J48" s="61" t="s">
        <v>1162</v>
      </c>
      <c r="K48" s="98">
        <v>156187.5</v>
      </c>
      <c r="L48" s="562">
        <v>0</v>
      </c>
      <c r="M48" s="563">
        <f t="shared" si="1"/>
        <v>0</v>
      </c>
      <c r="N48" s="561">
        <v>0</v>
      </c>
      <c r="O48" s="514"/>
      <c r="Q48"/>
      <c r="R48"/>
      <c r="S48"/>
      <c r="T48"/>
      <c r="U48"/>
      <c r="V48"/>
      <c r="X48" s="1491"/>
      <c r="Y48" s="1492"/>
      <c r="Z48" s="1493"/>
      <c r="AA48"/>
      <c r="AB48"/>
      <c r="AC48"/>
      <c r="AD48" s="266"/>
    </row>
    <row r="49" spans="2:30" s="55" customFormat="1" ht="15" customHeight="1" x14ac:dyDescent="0.25">
      <c r="B49" s="439">
        <v>44</v>
      </c>
      <c r="C49" s="61" t="s">
        <v>1163</v>
      </c>
      <c r="D49" s="98">
        <v>1480000</v>
      </c>
      <c r="E49" s="128">
        <v>0</v>
      </c>
      <c r="F49" s="454">
        <f t="shared" si="0"/>
        <v>0</v>
      </c>
      <c r="G49" s="128">
        <v>0</v>
      </c>
      <c r="H49"/>
      <c r="I49" s="439">
        <f t="shared" si="6"/>
        <v>44</v>
      </c>
      <c r="J49" s="585" t="s">
        <v>1164</v>
      </c>
      <c r="K49" s="578">
        <v>147569.44</v>
      </c>
      <c r="L49" s="562">
        <v>0</v>
      </c>
      <c r="M49" s="563">
        <f t="shared" si="1"/>
        <v>0</v>
      </c>
      <c r="N49" s="561">
        <v>0</v>
      </c>
      <c r="O49" s="514"/>
      <c r="P49"/>
      <c r="Q49"/>
      <c r="R49"/>
      <c r="S49"/>
      <c r="T49"/>
      <c r="U49"/>
      <c r="V49"/>
      <c r="X49" s="583" t="s">
        <v>1094</v>
      </c>
      <c r="Y49" s="583" t="s">
        <v>905</v>
      </c>
      <c r="Z49" s="583" t="s">
        <v>1095</v>
      </c>
      <c r="AA49"/>
      <c r="AB49"/>
      <c r="AC49"/>
      <c r="AD49" s="266"/>
    </row>
    <row r="50" spans="2:30" s="266" customFormat="1" ht="15" customHeight="1" x14ac:dyDescent="0.25">
      <c r="B50" s="559">
        <v>45</v>
      </c>
      <c r="C50" s="61" t="s">
        <v>1165</v>
      </c>
      <c r="D50" s="98">
        <v>1290512.5</v>
      </c>
      <c r="E50" s="128">
        <v>0</v>
      </c>
      <c r="F50" s="454">
        <f t="shared" si="0"/>
        <v>0</v>
      </c>
      <c r="G50" s="128">
        <v>0</v>
      </c>
      <c r="I50" s="439">
        <f t="shared" si="6"/>
        <v>45</v>
      </c>
      <c r="J50" s="585" t="s">
        <v>1166</v>
      </c>
      <c r="K50" s="578">
        <v>158397.5</v>
      </c>
      <c r="L50" s="562">
        <v>0</v>
      </c>
      <c r="M50" s="563">
        <f t="shared" si="1"/>
        <v>0</v>
      </c>
      <c r="N50" s="561">
        <v>0</v>
      </c>
      <c r="O50" s="514"/>
      <c r="Q50"/>
      <c r="R50"/>
      <c r="S50"/>
      <c r="T50"/>
      <c r="U50"/>
      <c r="V50"/>
      <c r="X50" s="593">
        <v>1</v>
      </c>
      <c r="Y50" s="551"/>
      <c r="Z50" s="26"/>
      <c r="AA50"/>
      <c r="AB50"/>
      <c r="AC50"/>
    </row>
    <row r="51" spans="2:30" s="266" customFormat="1" ht="15" customHeight="1" x14ac:dyDescent="0.25">
      <c r="B51" s="439">
        <v>46</v>
      </c>
      <c r="C51" s="61" t="s">
        <v>1167</v>
      </c>
      <c r="D51" s="577">
        <v>1260674.18</v>
      </c>
      <c r="E51" s="128">
        <v>0</v>
      </c>
      <c r="F51" s="454">
        <f t="shared" si="0"/>
        <v>0</v>
      </c>
      <c r="G51" s="128">
        <v>0</v>
      </c>
      <c r="I51" s="439">
        <f t="shared" si="6"/>
        <v>46</v>
      </c>
      <c r="J51" s="585" t="s">
        <v>1168</v>
      </c>
      <c r="K51" s="578">
        <v>101893.75</v>
      </c>
      <c r="L51" s="562">
        <v>0</v>
      </c>
      <c r="M51" s="563">
        <f t="shared" si="1"/>
        <v>0</v>
      </c>
      <c r="N51" s="561">
        <v>0</v>
      </c>
      <c r="O51" s="514"/>
      <c r="Q51"/>
      <c r="R51"/>
      <c r="S51"/>
      <c r="T51"/>
      <c r="X51" s="439">
        <f>1+X50</f>
        <v>2</v>
      </c>
      <c r="Y51" s="565"/>
      <c r="Z51" s="566"/>
      <c r="AA51"/>
      <c r="AB51"/>
      <c r="AC51"/>
    </row>
    <row r="52" spans="2:30" s="266" customFormat="1" ht="15" customHeight="1" x14ac:dyDescent="0.25">
      <c r="B52" s="439">
        <v>47</v>
      </c>
      <c r="C52" s="580" t="s">
        <v>1169</v>
      </c>
      <c r="D52" s="577">
        <v>1212678</v>
      </c>
      <c r="E52" s="128">
        <v>0</v>
      </c>
      <c r="F52" s="454">
        <f t="shared" si="0"/>
        <v>0</v>
      </c>
      <c r="G52" s="128">
        <v>0</v>
      </c>
      <c r="I52" s="439">
        <f t="shared" si="6"/>
        <v>47</v>
      </c>
      <c r="J52" s="580" t="s">
        <v>1179</v>
      </c>
      <c r="K52" s="98">
        <v>154652.76999999999</v>
      </c>
      <c r="L52" s="562">
        <v>0</v>
      </c>
      <c r="M52" s="563">
        <f t="shared" si="1"/>
        <v>0</v>
      </c>
      <c r="N52" s="561">
        <v>0</v>
      </c>
      <c r="O52" s="514"/>
      <c r="Q52"/>
      <c r="R52"/>
      <c r="S52"/>
      <c r="T52"/>
      <c r="V52" s="600"/>
      <c r="X52" s="439">
        <f>1+X51</f>
        <v>3</v>
      </c>
      <c r="Y52" s="565"/>
      <c r="Z52" s="566"/>
      <c r="AA52"/>
      <c r="AB52"/>
      <c r="AC52"/>
    </row>
    <row r="53" spans="2:30" s="266" customFormat="1" ht="15" customHeight="1" x14ac:dyDescent="0.25">
      <c r="B53" s="559">
        <v>48</v>
      </c>
      <c r="C53" s="61" t="s">
        <v>1170</v>
      </c>
      <c r="D53" s="98">
        <v>1382593</v>
      </c>
      <c r="E53" s="128">
        <v>0</v>
      </c>
      <c r="F53" s="454">
        <f t="shared" si="0"/>
        <v>0</v>
      </c>
      <c r="G53" s="128">
        <v>0</v>
      </c>
      <c r="H53" s="188"/>
      <c r="I53" s="439">
        <f t="shared" si="6"/>
        <v>48</v>
      </c>
      <c r="J53" s="585" t="s">
        <v>1180</v>
      </c>
      <c r="K53" s="578">
        <v>3395074.08</v>
      </c>
      <c r="L53" s="562">
        <v>0</v>
      </c>
      <c r="M53" s="563">
        <f t="shared" si="1"/>
        <v>0</v>
      </c>
      <c r="N53" s="561">
        <v>0</v>
      </c>
      <c r="O53" s="514"/>
      <c r="Q53"/>
      <c r="R53"/>
      <c r="S53"/>
      <c r="T53"/>
      <c r="X53" s="586"/>
      <c r="Y53" s="586"/>
      <c r="Z53" s="587">
        <f>SUM(Z50:Z52)</f>
        <v>0</v>
      </c>
      <c r="AA53"/>
      <c r="AB53"/>
      <c r="AC53"/>
    </row>
    <row r="54" spans="2:30" s="266" customFormat="1" ht="15" customHeight="1" x14ac:dyDescent="0.25">
      <c r="B54" s="439">
        <v>49</v>
      </c>
      <c r="C54" s="61" t="s">
        <v>1171</v>
      </c>
      <c r="D54" s="98">
        <v>1370908.05</v>
      </c>
      <c r="E54" s="128">
        <v>0</v>
      </c>
      <c r="F54" s="454">
        <f t="shared" si="0"/>
        <v>0</v>
      </c>
      <c r="G54" s="128">
        <v>0</v>
      </c>
      <c r="H54" s="188"/>
      <c r="I54" s="439">
        <f t="shared" si="6"/>
        <v>49</v>
      </c>
      <c r="J54" s="61" t="s">
        <v>2024</v>
      </c>
      <c r="K54" s="578">
        <v>243784.71</v>
      </c>
      <c r="L54" s="562">
        <v>0</v>
      </c>
      <c r="M54" s="563">
        <f t="shared" si="1"/>
        <v>0</v>
      </c>
      <c r="N54" s="561">
        <v>0</v>
      </c>
      <c r="O54" s="514"/>
      <c r="Q54"/>
      <c r="R54"/>
      <c r="S54"/>
      <c r="T54"/>
      <c r="V54" s="267"/>
      <c r="W54"/>
    </row>
    <row r="55" spans="2:30" s="266" customFormat="1" ht="15" customHeight="1" x14ac:dyDescent="0.25">
      <c r="B55" s="439">
        <v>50</v>
      </c>
      <c r="C55" s="61" t="s">
        <v>1172</v>
      </c>
      <c r="D55" s="98">
        <v>1248548</v>
      </c>
      <c r="E55" s="128">
        <v>0</v>
      </c>
      <c r="F55" s="454">
        <f t="shared" si="0"/>
        <v>0</v>
      </c>
      <c r="G55" s="128">
        <v>0</v>
      </c>
      <c r="H55" s="188"/>
      <c r="I55" s="439">
        <f t="shared" si="6"/>
        <v>50</v>
      </c>
      <c r="J55" s="464" t="s">
        <v>2094</v>
      </c>
      <c r="K55" s="19">
        <v>265518.75</v>
      </c>
      <c r="L55" s="562">
        <v>0</v>
      </c>
      <c r="M55" s="563">
        <f t="shared" si="1"/>
        <v>0</v>
      </c>
      <c r="N55" s="561">
        <v>0</v>
      </c>
      <c r="O55" s="514"/>
      <c r="Q55"/>
      <c r="R55"/>
      <c r="S55"/>
      <c r="T55"/>
      <c r="V55" s="267"/>
      <c r="W55"/>
      <c r="X55"/>
      <c r="Y55"/>
      <c r="Z55"/>
      <c r="AA55"/>
      <c r="AB55"/>
      <c r="AC55"/>
    </row>
    <row r="56" spans="2:30" s="266" customFormat="1" ht="15" customHeight="1" x14ac:dyDescent="0.25">
      <c r="B56" s="559">
        <v>51</v>
      </c>
      <c r="C56" s="61" t="s">
        <v>1173</v>
      </c>
      <c r="D56" s="98">
        <v>1377216.14</v>
      </c>
      <c r="E56" s="128">
        <v>0</v>
      </c>
      <c r="F56" s="454">
        <f t="shared" si="0"/>
        <v>0</v>
      </c>
      <c r="G56" s="128">
        <v>0</v>
      </c>
      <c r="H56" s="188"/>
      <c r="I56" s="439">
        <f t="shared" si="6"/>
        <v>51</v>
      </c>
      <c r="J56" s="580"/>
      <c r="K56" s="98"/>
      <c r="L56" s="562"/>
      <c r="M56" s="563"/>
      <c r="N56" s="561"/>
      <c r="O56" s="514"/>
      <c r="Q56"/>
      <c r="R56"/>
      <c r="S56"/>
      <c r="T56"/>
      <c r="V56" s="267"/>
      <c r="W56"/>
      <c r="X56"/>
      <c r="Y56"/>
      <c r="Z56"/>
      <c r="AA56"/>
      <c r="AB56"/>
      <c r="AC56"/>
    </row>
    <row r="57" spans="2:30" s="266" customFormat="1" ht="15" customHeight="1" x14ac:dyDescent="0.25">
      <c r="B57" s="439">
        <v>52</v>
      </c>
      <c r="C57" s="61" t="s">
        <v>1174</v>
      </c>
      <c r="D57" s="98">
        <v>1013795</v>
      </c>
      <c r="E57" s="128">
        <v>0</v>
      </c>
      <c r="F57" s="454">
        <f t="shared" si="0"/>
        <v>0</v>
      </c>
      <c r="G57" s="128">
        <v>0</v>
      </c>
      <c r="H57" s="188"/>
      <c r="I57" s="1312"/>
      <c r="J57" s="1325" t="s">
        <v>1074</v>
      </c>
      <c r="K57" s="1323">
        <f>SUM(K6:K56)</f>
        <v>63061243.840000011</v>
      </c>
      <c r="L57" s="1323">
        <f>SUM(L6:L56)</f>
        <v>1394750.66</v>
      </c>
      <c r="M57" s="1324">
        <f>L57/K57</f>
        <v>2.2117398501348681E-2</v>
      </c>
      <c r="N57" s="1323">
        <f>SUM(N6:N56)</f>
        <v>1640883.17</v>
      </c>
      <c r="O57" s="1326"/>
      <c r="Q57"/>
      <c r="R57"/>
      <c r="S57"/>
      <c r="T57"/>
      <c r="V57" s="267"/>
      <c r="W57"/>
      <c r="X57"/>
      <c r="Y57"/>
      <c r="Z57"/>
      <c r="AA57"/>
      <c r="AB57"/>
      <c r="AC57"/>
    </row>
    <row r="58" spans="2:30" s="266" customFormat="1" ht="15" customHeight="1" x14ac:dyDescent="0.25">
      <c r="B58" s="439">
        <v>53</v>
      </c>
      <c r="C58" s="61" t="s">
        <v>1175</v>
      </c>
      <c r="D58" s="98">
        <v>1474859.56</v>
      </c>
      <c r="E58" s="128">
        <v>0</v>
      </c>
      <c r="F58" s="454">
        <f t="shared" si="0"/>
        <v>0</v>
      </c>
      <c r="G58" s="128">
        <v>0</v>
      </c>
      <c r="I58"/>
      <c r="J58"/>
      <c r="K58"/>
      <c r="L58"/>
      <c r="M58"/>
      <c r="N58"/>
      <c r="O58" s="55"/>
      <c r="V58" s="267"/>
      <c r="X58"/>
      <c r="Y58"/>
      <c r="Z58"/>
      <c r="AA58"/>
      <c r="AB58"/>
      <c r="AC58"/>
    </row>
    <row r="59" spans="2:30" s="266" customFormat="1" ht="15" customHeight="1" x14ac:dyDescent="0.25">
      <c r="B59" s="559">
        <v>54</v>
      </c>
      <c r="C59" s="581" t="s">
        <v>1176</v>
      </c>
      <c r="D59" s="577">
        <v>1366630</v>
      </c>
      <c r="E59" s="128">
        <v>0</v>
      </c>
      <c r="F59" s="454">
        <f t="shared" si="0"/>
        <v>0</v>
      </c>
      <c r="G59" s="128">
        <v>0</v>
      </c>
      <c r="I59"/>
      <c r="J59"/>
      <c r="K59"/>
      <c r="L59"/>
      <c r="M59"/>
      <c r="N59"/>
      <c r="O59" s="55"/>
      <c r="X59"/>
      <c r="Y59"/>
      <c r="Z59"/>
      <c r="AA59"/>
      <c r="AB59"/>
      <c r="AC59"/>
    </row>
    <row r="60" spans="2:30" s="266" customFormat="1" ht="15" customHeight="1" x14ac:dyDescent="0.25">
      <c r="B60" s="439">
        <v>55</v>
      </c>
      <c r="C60" s="61" t="s">
        <v>1177</v>
      </c>
      <c r="D60" s="98">
        <v>861290.83</v>
      </c>
      <c r="E60" s="128">
        <v>0</v>
      </c>
      <c r="F60" s="454">
        <f t="shared" si="0"/>
        <v>0</v>
      </c>
      <c r="G60" s="128">
        <v>0</v>
      </c>
      <c r="I60"/>
      <c r="J60"/>
      <c r="K60"/>
      <c r="L60"/>
      <c r="M60"/>
      <c r="N60"/>
      <c r="O60" s="55"/>
      <c r="X60"/>
      <c r="Y60"/>
      <c r="Z60"/>
      <c r="AA60"/>
      <c r="AB60"/>
      <c r="AC60"/>
    </row>
    <row r="61" spans="2:30" s="266" customFormat="1" ht="15" customHeight="1" x14ac:dyDescent="0.25">
      <c r="B61" s="439">
        <v>56</v>
      </c>
      <c r="C61" s="61" t="s">
        <v>1183</v>
      </c>
      <c r="D61" s="98">
        <v>1470235.67</v>
      </c>
      <c r="E61" s="128">
        <v>0</v>
      </c>
      <c r="F61" s="454">
        <f t="shared" si="0"/>
        <v>0</v>
      </c>
      <c r="G61" s="128">
        <v>0</v>
      </c>
      <c r="I61" s="1351" t="s">
        <v>1178</v>
      </c>
      <c r="J61" s="1352"/>
      <c r="K61" s="1353"/>
      <c r="L61"/>
      <c r="M61"/>
      <c r="N61"/>
      <c r="O61" s="55"/>
      <c r="X61"/>
      <c r="Y61"/>
      <c r="Z61"/>
      <c r="AA61"/>
      <c r="AB61"/>
      <c r="AC61"/>
    </row>
    <row r="62" spans="2:30" s="266" customFormat="1" ht="15" customHeight="1" x14ac:dyDescent="0.25">
      <c r="B62" s="559">
        <v>57</v>
      </c>
      <c r="C62" s="61" t="s">
        <v>1190</v>
      </c>
      <c r="D62" s="98">
        <v>1186319.5</v>
      </c>
      <c r="E62" s="128">
        <v>0</v>
      </c>
      <c r="F62" s="454">
        <f t="shared" si="0"/>
        <v>0</v>
      </c>
      <c r="G62" s="128">
        <v>0</v>
      </c>
      <c r="I62" s="1354"/>
      <c r="J62" s="1355"/>
      <c r="K62" s="1356"/>
      <c r="L62"/>
      <c r="M62"/>
      <c r="N62"/>
      <c r="O62" s="55"/>
      <c r="X62"/>
      <c r="Y62"/>
      <c r="Z62"/>
      <c r="AA62"/>
      <c r="AB62"/>
      <c r="AC62"/>
    </row>
    <row r="63" spans="2:30" s="266" customFormat="1" ht="15" customHeight="1" x14ac:dyDescent="0.25">
      <c r="B63" s="439">
        <v>58</v>
      </c>
      <c r="C63" s="585" t="s">
        <v>1185</v>
      </c>
      <c r="D63" s="578">
        <v>1336531.5</v>
      </c>
      <c r="E63" s="128">
        <v>0</v>
      </c>
      <c r="F63" s="454">
        <f t="shared" si="0"/>
        <v>0</v>
      </c>
      <c r="G63" s="128">
        <v>0</v>
      </c>
      <c r="I63" s="583" t="s">
        <v>1094</v>
      </c>
      <c r="J63" s="583" t="s">
        <v>905</v>
      </c>
      <c r="K63" s="583" t="s">
        <v>1095</v>
      </c>
      <c r="L63"/>
      <c r="M63"/>
      <c r="N63"/>
      <c r="O63" s="55"/>
      <c r="X63"/>
      <c r="Y63"/>
      <c r="Z63"/>
      <c r="AA63"/>
      <c r="AB63"/>
      <c r="AC63"/>
    </row>
    <row r="64" spans="2:30" s="266" customFormat="1" ht="15" customHeight="1" x14ac:dyDescent="0.25">
      <c r="B64" s="439">
        <v>59</v>
      </c>
      <c r="C64" s="585" t="s">
        <v>1187</v>
      </c>
      <c r="D64" s="578">
        <v>1136829.6100000001</v>
      </c>
      <c r="E64" s="128">
        <v>0</v>
      </c>
      <c r="F64" s="454">
        <f t="shared" si="0"/>
        <v>0</v>
      </c>
      <c r="G64" s="128">
        <v>0</v>
      </c>
      <c r="I64" s="496">
        <v>1</v>
      </c>
      <c r="J64" s="464" t="s">
        <v>2110</v>
      </c>
      <c r="K64" s="19">
        <v>2939288.96</v>
      </c>
      <c r="L64"/>
      <c r="M64"/>
      <c r="N64"/>
      <c r="O64" s="55"/>
      <c r="X64"/>
      <c r="Y64"/>
      <c r="Z64"/>
      <c r="AA64"/>
      <c r="AB64"/>
      <c r="AC64"/>
    </row>
    <row r="65" spans="2:29" s="266" customFormat="1" ht="15" customHeight="1" x14ac:dyDescent="0.25">
      <c r="B65" s="559">
        <v>60</v>
      </c>
      <c r="C65" s="61" t="s">
        <v>1189</v>
      </c>
      <c r="D65" s="98">
        <v>1125405.05</v>
      </c>
      <c r="E65" s="128">
        <v>0</v>
      </c>
      <c r="F65" s="454">
        <f t="shared" si="0"/>
        <v>0</v>
      </c>
      <c r="G65" s="128">
        <v>0</v>
      </c>
      <c r="I65" s="496">
        <v>2</v>
      </c>
      <c r="J65" s="46" t="s">
        <v>2116</v>
      </c>
      <c r="K65" s="578">
        <v>172836.87</v>
      </c>
      <c r="L65"/>
      <c r="M65"/>
      <c r="N65"/>
      <c r="O65" s="55"/>
      <c r="X65"/>
      <c r="Y65"/>
      <c r="Z65"/>
      <c r="AA65"/>
      <c r="AB65"/>
      <c r="AC65"/>
    </row>
    <row r="66" spans="2:29" s="266" customFormat="1" ht="15" customHeight="1" x14ac:dyDescent="0.25">
      <c r="B66" s="439">
        <v>61</v>
      </c>
      <c r="C66" s="61" t="s">
        <v>1192</v>
      </c>
      <c r="D66" s="98">
        <v>1070543.83</v>
      </c>
      <c r="E66" s="128">
        <v>0</v>
      </c>
      <c r="F66" s="454">
        <f t="shared" si="0"/>
        <v>0</v>
      </c>
      <c r="G66" s="128">
        <v>0</v>
      </c>
      <c r="I66" s="496">
        <f t="shared" ref="I66:I74" si="8">1+I65</f>
        <v>3</v>
      </c>
      <c r="J66" s="585" t="s">
        <v>2122</v>
      </c>
      <c r="K66" s="578">
        <v>273487.5</v>
      </c>
      <c r="L66"/>
      <c r="M66"/>
      <c r="N66"/>
      <c r="O66" s="55"/>
      <c r="X66"/>
      <c r="Y66"/>
      <c r="Z66"/>
      <c r="AA66"/>
      <c r="AB66"/>
      <c r="AC66"/>
    </row>
    <row r="67" spans="2:29" s="266" customFormat="1" ht="15" customHeight="1" x14ac:dyDescent="0.25">
      <c r="B67" s="439">
        <v>62</v>
      </c>
      <c r="C67" s="61" t="s">
        <v>1186</v>
      </c>
      <c r="D67" s="98">
        <v>1480000</v>
      </c>
      <c r="E67" s="128">
        <v>0</v>
      </c>
      <c r="F67" s="454">
        <f t="shared" si="0"/>
        <v>0</v>
      </c>
      <c r="G67" s="128">
        <v>0</v>
      </c>
      <c r="I67" s="496">
        <f t="shared" si="8"/>
        <v>4</v>
      </c>
      <c r="J67" s="585" t="s">
        <v>764</v>
      </c>
      <c r="K67" s="578">
        <v>174768.5</v>
      </c>
      <c r="L67"/>
      <c r="M67"/>
      <c r="N67"/>
      <c r="O67" s="55"/>
      <c r="X67"/>
      <c r="Y67"/>
      <c r="Z67"/>
      <c r="AA67"/>
      <c r="AB67"/>
      <c r="AC67"/>
    </row>
    <row r="68" spans="2:29" s="266" customFormat="1" ht="15" customHeight="1" x14ac:dyDescent="0.25">
      <c r="B68" s="559">
        <v>63</v>
      </c>
      <c r="C68" s="61" t="s">
        <v>1191</v>
      </c>
      <c r="D68" s="98">
        <v>1186914.5</v>
      </c>
      <c r="E68" s="128">
        <v>0</v>
      </c>
      <c r="F68" s="454">
        <f t="shared" si="0"/>
        <v>0</v>
      </c>
      <c r="G68" s="128">
        <v>0</v>
      </c>
      <c r="I68" s="496">
        <f t="shared" si="8"/>
        <v>5</v>
      </c>
      <c r="J68" s="594" t="s">
        <v>767</v>
      </c>
      <c r="K68" s="595">
        <v>174611.25</v>
      </c>
      <c r="L68"/>
      <c r="M68"/>
      <c r="N68"/>
      <c r="O68" s="55"/>
      <c r="X68"/>
      <c r="Y68"/>
      <c r="Z68"/>
      <c r="AA68"/>
      <c r="AB68"/>
      <c r="AC68"/>
    </row>
    <row r="69" spans="2:29" s="266" customFormat="1" ht="15" customHeight="1" x14ac:dyDescent="0.25">
      <c r="B69" s="439">
        <v>64</v>
      </c>
      <c r="C69" s="1009" t="s">
        <v>2019</v>
      </c>
      <c r="D69" s="1001">
        <v>1353747.76</v>
      </c>
      <c r="E69" s="440">
        <v>0</v>
      </c>
      <c r="F69" s="441">
        <f t="shared" si="0"/>
        <v>0</v>
      </c>
      <c r="G69" s="440">
        <v>0</v>
      </c>
      <c r="I69" s="496">
        <f t="shared" si="8"/>
        <v>6</v>
      </c>
      <c r="J69" s="594" t="s">
        <v>2143</v>
      </c>
      <c r="K69" s="595">
        <v>231497.5</v>
      </c>
      <c r="L69"/>
      <c r="M69"/>
      <c r="N69"/>
      <c r="O69" s="55"/>
      <c r="X69"/>
      <c r="Y69"/>
      <c r="Z69"/>
      <c r="AA69"/>
      <c r="AB69"/>
      <c r="AC69"/>
    </row>
    <row r="70" spans="2:29" s="266" customFormat="1" ht="15" customHeight="1" x14ac:dyDescent="0.25">
      <c r="B70" s="439">
        <v>65</v>
      </c>
      <c r="C70" s="1009" t="s">
        <v>1195</v>
      </c>
      <c r="D70" s="1001">
        <v>778119.14</v>
      </c>
      <c r="E70" s="440">
        <v>0</v>
      </c>
      <c r="F70" s="441">
        <f t="shared" ref="F70:F122" si="9">E70/D70</f>
        <v>0</v>
      </c>
      <c r="G70" s="440">
        <v>0</v>
      </c>
      <c r="I70" s="496">
        <v>7</v>
      </c>
      <c r="J70" s="598" t="s">
        <v>2149</v>
      </c>
      <c r="K70" s="599">
        <v>208335</v>
      </c>
      <c r="L70"/>
      <c r="M70"/>
      <c r="N70"/>
      <c r="O70"/>
      <c r="X70"/>
      <c r="Y70"/>
      <c r="Z70"/>
      <c r="AA70"/>
      <c r="AB70"/>
      <c r="AC70"/>
    </row>
    <row r="71" spans="2:29" s="266" customFormat="1" ht="15" customHeight="1" x14ac:dyDescent="0.25">
      <c r="B71" s="559">
        <v>66</v>
      </c>
      <c r="C71" s="1009" t="s">
        <v>1194</v>
      </c>
      <c r="D71" s="1001">
        <v>1229858.47</v>
      </c>
      <c r="E71" s="440">
        <v>0</v>
      </c>
      <c r="F71" s="441">
        <f t="shared" si="9"/>
        <v>0</v>
      </c>
      <c r="G71" s="440">
        <v>0</v>
      </c>
      <c r="I71" s="496">
        <v>8</v>
      </c>
      <c r="J71" s="598" t="s">
        <v>2150</v>
      </c>
      <c r="K71" s="599">
        <v>144925</v>
      </c>
      <c r="L71" s="604"/>
      <c r="M71" s="605"/>
      <c r="N71" s="604"/>
      <c r="X71"/>
      <c r="Y71"/>
      <c r="Z71"/>
      <c r="AA71"/>
      <c r="AB71"/>
      <c r="AC71"/>
    </row>
    <row r="72" spans="2:29" s="266" customFormat="1" ht="15" customHeight="1" x14ac:dyDescent="0.25">
      <c r="B72" s="439">
        <v>67</v>
      </c>
      <c r="C72" s="1009" t="s">
        <v>1193</v>
      </c>
      <c r="D72" s="1001">
        <v>1479999.99</v>
      </c>
      <c r="E72" s="440">
        <v>0</v>
      </c>
      <c r="F72" s="441">
        <f t="shared" si="9"/>
        <v>0</v>
      </c>
      <c r="G72" s="440">
        <v>0</v>
      </c>
      <c r="I72" s="496">
        <v>9</v>
      </c>
      <c r="J72" s="1535" t="s">
        <v>2151</v>
      </c>
      <c r="K72" s="1536">
        <v>142077.5</v>
      </c>
      <c r="L72" s="604"/>
      <c r="M72" s="605"/>
      <c r="N72" s="604"/>
      <c r="X72"/>
      <c r="Y72"/>
      <c r="Z72"/>
      <c r="AA72"/>
      <c r="AB72"/>
      <c r="AC72"/>
    </row>
    <row r="73" spans="2:29" s="266" customFormat="1" ht="15" customHeight="1" x14ac:dyDescent="0.25">
      <c r="B73" s="439">
        <v>68</v>
      </c>
      <c r="C73" s="596" t="s">
        <v>2020</v>
      </c>
      <c r="D73" s="597">
        <v>996200</v>
      </c>
      <c r="E73" s="440">
        <v>0</v>
      </c>
      <c r="F73" s="441">
        <f t="shared" si="9"/>
        <v>0</v>
      </c>
      <c r="G73" s="440">
        <v>0</v>
      </c>
      <c r="I73" s="496">
        <f t="shared" si="8"/>
        <v>10</v>
      </c>
      <c r="J73" s="598" t="s">
        <v>2152</v>
      </c>
      <c r="K73" s="599">
        <v>211161.25</v>
      </c>
      <c r="L73" s="604"/>
      <c r="M73" s="605"/>
      <c r="N73" s="604"/>
      <c r="X73"/>
      <c r="Y73"/>
      <c r="Z73"/>
      <c r="AA73"/>
      <c r="AB73"/>
      <c r="AC73"/>
    </row>
    <row r="74" spans="2:29" s="266" customFormat="1" ht="15" customHeight="1" x14ac:dyDescent="0.25">
      <c r="B74" s="559">
        <v>69</v>
      </c>
      <c r="C74" s="596" t="s">
        <v>2022</v>
      </c>
      <c r="D74" s="597">
        <v>1221362.73</v>
      </c>
      <c r="E74" s="440">
        <v>0</v>
      </c>
      <c r="F74" s="441">
        <f t="shared" si="9"/>
        <v>0</v>
      </c>
      <c r="G74" s="440">
        <v>0</v>
      </c>
      <c r="I74" s="496">
        <f t="shared" si="8"/>
        <v>11</v>
      </c>
      <c r="J74" s="598"/>
      <c r="K74" s="599"/>
      <c r="L74" s="604"/>
      <c r="M74" s="605"/>
      <c r="N74" s="604"/>
      <c r="X74"/>
      <c r="Y74"/>
      <c r="Z74"/>
      <c r="AA74"/>
      <c r="AB74"/>
      <c r="AC74"/>
    </row>
    <row r="75" spans="2:29" s="266" customFormat="1" ht="15" customHeight="1" x14ac:dyDescent="0.25">
      <c r="B75" s="439">
        <v>70</v>
      </c>
      <c r="C75" s="596" t="s">
        <v>1059</v>
      </c>
      <c r="D75" s="597">
        <v>1231162</v>
      </c>
      <c r="E75" s="440">
        <v>0</v>
      </c>
      <c r="F75" s="441">
        <f t="shared" si="9"/>
        <v>0</v>
      </c>
      <c r="G75" s="440">
        <v>0</v>
      </c>
      <c r="I75" s="601" t="s">
        <v>1184</v>
      </c>
      <c r="J75" s="601"/>
      <c r="K75" s="602">
        <f>SUM(K64:K74)</f>
        <v>4672989.33</v>
      </c>
      <c r="L75"/>
      <c r="M75" s="605"/>
      <c r="N75" s="604"/>
      <c r="X75"/>
      <c r="Y75"/>
      <c r="Z75"/>
      <c r="AA75"/>
      <c r="AB75"/>
      <c r="AC75"/>
    </row>
    <row r="76" spans="2:29" s="266" customFormat="1" ht="15" customHeight="1" x14ac:dyDescent="0.25">
      <c r="B76" s="439">
        <v>71</v>
      </c>
      <c r="C76" s="596" t="s">
        <v>1188</v>
      </c>
      <c r="D76" s="597">
        <v>1096823</v>
      </c>
      <c r="E76" s="440">
        <v>0</v>
      </c>
      <c r="F76" s="441">
        <f t="shared" si="9"/>
        <v>0</v>
      </c>
      <c r="G76" s="440">
        <v>0</v>
      </c>
      <c r="I76"/>
      <c r="J76"/>
      <c r="K76"/>
      <c r="X76"/>
      <c r="Y76"/>
      <c r="Z76"/>
      <c r="AA76"/>
      <c r="AB76"/>
      <c r="AC76"/>
    </row>
    <row r="77" spans="2:29" s="266" customFormat="1" ht="15" customHeight="1" x14ac:dyDescent="0.25">
      <c r="B77" s="559">
        <v>72</v>
      </c>
      <c r="C77" s="581" t="s">
        <v>2034</v>
      </c>
      <c r="D77" s="577">
        <v>1256566.08</v>
      </c>
      <c r="E77" s="128">
        <v>0</v>
      </c>
      <c r="F77" s="454">
        <f t="shared" si="9"/>
        <v>0</v>
      </c>
      <c r="G77" s="128">
        <v>0</v>
      </c>
      <c r="X77"/>
      <c r="Y77"/>
      <c r="Z77"/>
      <c r="AA77"/>
      <c r="AB77"/>
      <c r="AC77"/>
    </row>
    <row r="78" spans="2:29" s="266" customFormat="1" ht="15" customHeight="1" x14ac:dyDescent="0.25">
      <c r="B78" s="439">
        <v>73</v>
      </c>
      <c r="C78" s="581" t="s">
        <v>2026</v>
      </c>
      <c r="D78" s="577">
        <v>668312.5</v>
      </c>
      <c r="E78" s="128">
        <v>0</v>
      </c>
      <c r="F78" s="454">
        <f t="shared" si="9"/>
        <v>0</v>
      </c>
      <c r="G78" s="128">
        <v>0</v>
      </c>
      <c r="X78"/>
      <c r="Y78"/>
      <c r="Z78"/>
      <c r="AA78"/>
      <c r="AB78"/>
      <c r="AC78"/>
    </row>
    <row r="79" spans="2:29" s="266" customFormat="1" ht="15" customHeight="1" x14ac:dyDescent="0.25">
      <c r="B79" s="439">
        <v>74</v>
      </c>
      <c r="C79" s="581" t="s">
        <v>2023</v>
      </c>
      <c r="D79" s="577">
        <v>1257307.3500000001</v>
      </c>
      <c r="E79" s="128">
        <v>0</v>
      </c>
      <c r="F79" s="454">
        <f t="shared" si="9"/>
        <v>0</v>
      </c>
      <c r="G79" s="128">
        <v>0</v>
      </c>
      <c r="L79" s="604"/>
      <c r="M79" s="605"/>
      <c r="N79" s="604"/>
      <c r="X79"/>
      <c r="Y79"/>
      <c r="Z79"/>
      <c r="AA79"/>
      <c r="AB79"/>
      <c r="AC79"/>
    </row>
    <row r="80" spans="2:29" s="266" customFormat="1" ht="15" customHeight="1" x14ac:dyDescent="0.25">
      <c r="B80" s="559">
        <v>75</v>
      </c>
      <c r="C80" s="581" t="s">
        <v>2035</v>
      </c>
      <c r="D80" s="577">
        <v>1347357.1</v>
      </c>
      <c r="E80" s="128">
        <v>0</v>
      </c>
      <c r="F80" s="454">
        <f t="shared" si="9"/>
        <v>0</v>
      </c>
      <c r="G80" s="128">
        <v>0</v>
      </c>
      <c r="I80" s="606"/>
      <c r="J80" s="607"/>
      <c r="K80" s="267"/>
      <c r="L80" s="604"/>
      <c r="M80" s="605"/>
      <c r="N80" s="604"/>
      <c r="X80"/>
      <c r="Y80"/>
      <c r="Z80"/>
      <c r="AA80"/>
      <c r="AB80"/>
      <c r="AC80"/>
    </row>
    <row r="81" spans="2:29" s="266" customFormat="1" ht="15" customHeight="1" x14ac:dyDescent="0.25">
      <c r="B81" s="439">
        <v>76</v>
      </c>
      <c r="C81" s="581" t="s">
        <v>2025</v>
      </c>
      <c r="D81" s="577">
        <v>1143584.8600000001</v>
      </c>
      <c r="E81" s="128">
        <v>0</v>
      </c>
      <c r="F81" s="454">
        <f t="shared" si="9"/>
        <v>0</v>
      </c>
      <c r="G81" s="128">
        <v>0</v>
      </c>
      <c r="I81" s="606"/>
      <c r="J81" s="607"/>
      <c r="K81" s="604"/>
      <c r="L81" s="604"/>
      <c r="M81" s="605"/>
      <c r="N81" s="604"/>
      <c r="X81"/>
      <c r="Y81"/>
      <c r="Z81"/>
      <c r="AA81"/>
      <c r="AB81"/>
      <c r="AC81"/>
    </row>
    <row r="82" spans="2:29" s="266" customFormat="1" ht="15" customHeight="1" x14ac:dyDescent="0.25">
      <c r="B82" s="439">
        <v>77</v>
      </c>
      <c r="C82" s="581" t="s">
        <v>2037</v>
      </c>
      <c r="D82" s="577">
        <v>1052575.6000000001</v>
      </c>
      <c r="E82" s="128">
        <v>0</v>
      </c>
      <c r="F82" s="454">
        <f t="shared" si="9"/>
        <v>0</v>
      </c>
      <c r="G82" s="128">
        <v>0</v>
      </c>
      <c r="I82" s="606"/>
      <c r="J82" s="607"/>
      <c r="K82" s="267"/>
      <c r="L82" s="604"/>
      <c r="M82" s="605"/>
      <c r="N82" s="604"/>
      <c r="X82"/>
      <c r="Y82"/>
      <c r="Z82"/>
      <c r="AA82"/>
      <c r="AB82"/>
      <c r="AC82"/>
    </row>
    <row r="83" spans="2:29" s="266" customFormat="1" ht="15" customHeight="1" x14ac:dyDescent="0.25">
      <c r="B83" s="559">
        <v>78</v>
      </c>
      <c r="C83" s="581" t="s">
        <v>2038</v>
      </c>
      <c r="D83" s="577">
        <v>1336000</v>
      </c>
      <c r="E83" s="128">
        <v>0</v>
      </c>
      <c r="F83" s="454">
        <f t="shared" si="9"/>
        <v>0</v>
      </c>
      <c r="G83" s="128">
        <v>0</v>
      </c>
      <c r="I83" s="606"/>
      <c r="J83" s="607"/>
      <c r="K83" s="604"/>
      <c r="L83" s="604"/>
      <c r="M83" s="605"/>
      <c r="N83" s="604"/>
      <c r="X83"/>
      <c r="Y83"/>
      <c r="Z83"/>
      <c r="AA83"/>
      <c r="AB83"/>
      <c r="AC83"/>
    </row>
    <row r="84" spans="2:29" s="266" customFormat="1" ht="15" customHeight="1" x14ac:dyDescent="0.25">
      <c r="B84" s="439">
        <v>79</v>
      </c>
      <c r="C84" s="61" t="s">
        <v>2041</v>
      </c>
      <c r="D84" s="973">
        <v>1170959.3600000001</v>
      </c>
      <c r="E84" s="128">
        <v>0</v>
      </c>
      <c r="F84" s="454">
        <f t="shared" si="9"/>
        <v>0</v>
      </c>
      <c r="G84" s="128">
        <v>0</v>
      </c>
      <c r="I84" s="606"/>
      <c r="J84" s="607"/>
      <c r="K84" s="604"/>
      <c r="L84" s="604"/>
      <c r="M84" s="605"/>
      <c r="N84" s="604"/>
      <c r="X84"/>
      <c r="Y84"/>
      <c r="Z84"/>
      <c r="AA84"/>
      <c r="AB84"/>
      <c r="AC84"/>
    </row>
    <row r="85" spans="2:29" s="266" customFormat="1" ht="15" customHeight="1" x14ac:dyDescent="0.25">
      <c r="B85" s="439">
        <v>80</v>
      </c>
      <c r="C85" s="581" t="s">
        <v>2027</v>
      </c>
      <c r="D85" s="577">
        <v>516587.5</v>
      </c>
      <c r="E85" s="128">
        <v>0</v>
      </c>
      <c r="F85" s="454">
        <f t="shared" si="9"/>
        <v>0</v>
      </c>
      <c r="G85" s="128">
        <v>0</v>
      </c>
      <c r="I85" s="606"/>
      <c r="J85" s="607"/>
      <c r="K85" s="604"/>
      <c r="L85" s="604"/>
      <c r="M85" s="605"/>
      <c r="N85" s="604"/>
      <c r="X85"/>
      <c r="Y85"/>
      <c r="Z85"/>
      <c r="AA85"/>
      <c r="AB85"/>
      <c r="AC85"/>
    </row>
    <row r="86" spans="2:29" s="266" customFormat="1" ht="15" customHeight="1" x14ac:dyDescent="0.25">
      <c r="B86" s="559">
        <v>81</v>
      </c>
      <c r="C86" s="581" t="s">
        <v>2028</v>
      </c>
      <c r="D86" s="577">
        <v>1480000</v>
      </c>
      <c r="E86" s="128">
        <v>0</v>
      </c>
      <c r="F86" s="454">
        <f t="shared" si="9"/>
        <v>0</v>
      </c>
      <c r="G86" s="128">
        <v>0</v>
      </c>
      <c r="I86" s="606"/>
      <c r="J86" s="607"/>
      <c r="K86" s="604"/>
      <c r="L86" s="604"/>
      <c r="M86" s="605"/>
      <c r="N86" s="604"/>
      <c r="X86"/>
      <c r="Y86"/>
      <c r="Z86"/>
      <c r="AA86"/>
      <c r="AB86"/>
      <c r="AC86"/>
    </row>
    <row r="87" spans="2:29" s="266" customFormat="1" ht="15" customHeight="1" x14ac:dyDescent="0.25">
      <c r="B87" s="439">
        <v>82</v>
      </c>
      <c r="C87" s="61" t="s">
        <v>2060</v>
      </c>
      <c r="D87" s="973">
        <v>1480000</v>
      </c>
      <c r="E87" s="128">
        <v>0</v>
      </c>
      <c r="F87" s="454">
        <f t="shared" si="9"/>
        <v>0</v>
      </c>
      <c r="G87" s="128">
        <v>0</v>
      </c>
      <c r="I87" s="606"/>
      <c r="J87" s="607"/>
      <c r="K87" s="604"/>
      <c r="L87" s="604"/>
      <c r="M87" s="605"/>
      <c r="N87" s="604"/>
      <c r="X87"/>
      <c r="Y87"/>
      <c r="Z87"/>
      <c r="AA87"/>
      <c r="AB87"/>
      <c r="AC87"/>
    </row>
    <row r="88" spans="2:29" s="266" customFormat="1" ht="15" customHeight="1" x14ac:dyDescent="0.25">
      <c r="B88" s="439">
        <v>83</v>
      </c>
      <c r="C88" s="61" t="s">
        <v>2056</v>
      </c>
      <c r="D88" s="973">
        <v>963909.58</v>
      </c>
      <c r="E88" s="128">
        <v>0</v>
      </c>
      <c r="F88" s="454">
        <f t="shared" si="9"/>
        <v>0</v>
      </c>
      <c r="G88" s="128">
        <v>0</v>
      </c>
      <c r="I88" s="606"/>
      <c r="J88" s="607"/>
      <c r="K88" s="604"/>
      <c r="L88" s="604"/>
      <c r="M88" s="605"/>
      <c r="N88" s="604"/>
      <c r="X88"/>
      <c r="Y88"/>
      <c r="Z88"/>
      <c r="AA88"/>
      <c r="AB88"/>
      <c r="AC88"/>
    </row>
    <row r="89" spans="2:29" s="266" customFormat="1" ht="15" customHeight="1" x14ac:dyDescent="0.25">
      <c r="B89" s="559">
        <v>84</v>
      </c>
      <c r="C89" s="581" t="s">
        <v>2040</v>
      </c>
      <c r="D89" s="577">
        <v>979935.58</v>
      </c>
      <c r="E89" s="128">
        <v>0</v>
      </c>
      <c r="F89" s="454">
        <f t="shared" si="9"/>
        <v>0</v>
      </c>
      <c r="G89" s="128">
        <v>0</v>
      </c>
      <c r="I89" s="606"/>
      <c r="J89" s="607"/>
      <c r="K89" s="604"/>
      <c r="L89" s="604"/>
      <c r="M89" s="605"/>
      <c r="N89" s="604"/>
      <c r="X89"/>
      <c r="Y89"/>
      <c r="Z89"/>
      <c r="AA89"/>
      <c r="AB89"/>
      <c r="AC89"/>
    </row>
    <row r="90" spans="2:29" s="266" customFormat="1" ht="15" customHeight="1" x14ac:dyDescent="0.25">
      <c r="B90" s="439">
        <v>85</v>
      </c>
      <c r="C90" s="61" t="s">
        <v>2054</v>
      </c>
      <c r="D90" s="973">
        <v>577830</v>
      </c>
      <c r="E90" s="128">
        <v>0</v>
      </c>
      <c r="F90" s="454">
        <f t="shared" si="9"/>
        <v>0</v>
      </c>
      <c r="G90" s="128">
        <v>0</v>
      </c>
      <c r="I90" s="606"/>
      <c r="J90" s="607"/>
      <c r="K90" s="608"/>
      <c r="L90" s="604"/>
      <c r="M90" s="605"/>
      <c r="N90" s="604"/>
      <c r="X90"/>
      <c r="Y90"/>
      <c r="Z90"/>
      <c r="AA90"/>
      <c r="AB90"/>
      <c r="AC90"/>
    </row>
    <row r="91" spans="2:29" s="266" customFormat="1" ht="15" customHeight="1" x14ac:dyDescent="0.25">
      <c r="B91" s="439">
        <v>86</v>
      </c>
      <c r="C91" s="61" t="s">
        <v>2039</v>
      </c>
      <c r="D91" s="973">
        <v>783285.22</v>
      </c>
      <c r="E91" s="128">
        <v>0</v>
      </c>
      <c r="F91" s="454">
        <f t="shared" si="9"/>
        <v>0</v>
      </c>
      <c r="G91" s="128">
        <v>0</v>
      </c>
      <c r="I91" s="606"/>
      <c r="J91" s="607"/>
      <c r="K91" s="608"/>
      <c r="L91" s="604"/>
      <c r="M91" s="605"/>
      <c r="N91" s="604"/>
      <c r="X91"/>
      <c r="Y91"/>
      <c r="Z91"/>
      <c r="AA91"/>
      <c r="AB91"/>
      <c r="AC91"/>
    </row>
    <row r="92" spans="2:29" s="266" customFormat="1" ht="15" customHeight="1" x14ac:dyDescent="0.25">
      <c r="B92" s="559">
        <v>87</v>
      </c>
      <c r="C92" s="61" t="s">
        <v>2042</v>
      </c>
      <c r="D92" s="973">
        <v>645150</v>
      </c>
      <c r="E92" s="128">
        <v>0</v>
      </c>
      <c r="F92" s="454">
        <f t="shared" si="9"/>
        <v>0</v>
      </c>
      <c r="G92" s="128">
        <v>0</v>
      </c>
      <c r="I92" s="606"/>
      <c r="J92" s="607"/>
      <c r="K92" s="608"/>
      <c r="L92" s="604"/>
      <c r="M92" s="605"/>
      <c r="N92" s="604"/>
      <c r="X92"/>
      <c r="Y92"/>
      <c r="Z92"/>
      <c r="AA92"/>
      <c r="AB92"/>
      <c r="AC92"/>
    </row>
    <row r="93" spans="2:29" s="266" customFormat="1" ht="15" customHeight="1" x14ac:dyDescent="0.25">
      <c r="B93" s="439">
        <v>88</v>
      </c>
      <c r="C93" s="61" t="s">
        <v>2055</v>
      </c>
      <c r="D93" s="973">
        <v>1136821.45</v>
      </c>
      <c r="E93" s="128">
        <v>0</v>
      </c>
      <c r="F93" s="454">
        <f t="shared" si="9"/>
        <v>0</v>
      </c>
      <c r="G93" s="128">
        <v>0</v>
      </c>
      <c r="I93" s="606"/>
      <c r="J93" s="607"/>
      <c r="K93" s="608"/>
      <c r="L93" s="604"/>
      <c r="M93" s="605"/>
      <c r="N93" s="604"/>
      <c r="X93"/>
      <c r="Y93"/>
      <c r="Z93"/>
      <c r="AA93"/>
      <c r="AB93"/>
      <c r="AC93"/>
    </row>
    <row r="94" spans="2:29" s="266" customFormat="1" ht="15" customHeight="1" x14ac:dyDescent="0.25">
      <c r="B94" s="439">
        <v>89</v>
      </c>
      <c r="C94" s="61" t="s">
        <v>2036</v>
      </c>
      <c r="D94" s="135">
        <v>1462274.43</v>
      </c>
      <c r="E94" s="128">
        <v>0</v>
      </c>
      <c r="F94" s="454">
        <f t="shared" si="9"/>
        <v>0</v>
      </c>
      <c r="G94" s="128">
        <v>0</v>
      </c>
      <c r="I94" s="606"/>
      <c r="J94" s="607"/>
      <c r="K94" s="608"/>
      <c r="L94" s="604"/>
      <c r="M94" s="605"/>
      <c r="N94" s="604"/>
      <c r="X94"/>
      <c r="Y94"/>
      <c r="Z94"/>
      <c r="AA94"/>
      <c r="AB94"/>
      <c r="AC94"/>
    </row>
    <row r="95" spans="2:29" s="266" customFormat="1" ht="15" customHeight="1" x14ac:dyDescent="0.25">
      <c r="B95" s="559">
        <v>90</v>
      </c>
      <c r="C95" s="61" t="s">
        <v>2058</v>
      </c>
      <c r="D95" s="973">
        <v>1480000</v>
      </c>
      <c r="E95" s="128">
        <v>0</v>
      </c>
      <c r="F95" s="454">
        <f t="shared" si="9"/>
        <v>0</v>
      </c>
      <c r="G95" s="128">
        <v>0</v>
      </c>
      <c r="I95" s="606"/>
      <c r="J95" s="607"/>
      <c r="K95" s="608"/>
      <c r="L95" s="604"/>
      <c r="M95" s="605"/>
      <c r="N95" s="604"/>
      <c r="X95"/>
      <c r="Y95"/>
      <c r="Z95"/>
      <c r="AA95"/>
      <c r="AB95"/>
      <c r="AC95"/>
    </row>
    <row r="96" spans="2:29" s="266" customFormat="1" ht="15" customHeight="1" x14ac:dyDescent="0.25">
      <c r="B96" s="439">
        <v>91</v>
      </c>
      <c r="C96" s="61" t="s">
        <v>2031</v>
      </c>
      <c r="D96" s="98">
        <v>972776.55</v>
      </c>
      <c r="E96" s="128">
        <v>0</v>
      </c>
      <c r="F96" s="454">
        <f t="shared" si="9"/>
        <v>0</v>
      </c>
      <c r="G96" s="128">
        <v>0</v>
      </c>
      <c r="I96" s="606"/>
      <c r="J96" s="607"/>
      <c r="K96" s="608"/>
      <c r="L96" s="604"/>
      <c r="M96" s="605"/>
      <c r="N96" s="604"/>
      <c r="X96"/>
      <c r="Y96"/>
      <c r="Z96"/>
      <c r="AA96"/>
      <c r="AB96"/>
      <c r="AC96"/>
    </row>
    <row r="97" spans="2:29" s="266" customFormat="1" ht="15" customHeight="1" x14ac:dyDescent="0.25">
      <c r="B97" s="439">
        <v>92</v>
      </c>
      <c r="C97" s="61" t="s">
        <v>2030</v>
      </c>
      <c r="D97" s="972">
        <v>1249777.48</v>
      </c>
      <c r="E97" s="128">
        <v>0</v>
      </c>
      <c r="F97" s="454">
        <f t="shared" si="9"/>
        <v>0</v>
      </c>
      <c r="G97" s="128">
        <v>0</v>
      </c>
      <c r="I97" s="606"/>
      <c r="J97" s="607"/>
      <c r="K97" s="608"/>
      <c r="L97" s="604"/>
      <c r="M97" s="605"/>
      <c r="N97" s="604"/>
      <c r="X97"/>
      <c r="Y97"/>
      <c r="Z97"/>
      <c r="AA97"/>
      <c r="AB97"/>
      <c r="AC97"/>
    </row>
    <row r="98" spans="2:29" s="266" customFormat="1" ht="15" customHeight="1" x14ac:dyDescent="0.25">
      <c r="B98" s="559">
        <v>93</v>
      </c>
      <c r="C98" s="61" t="s">
        <v>2057</v>
      </c>
      <c r="D98" s="973">
        <v>1439334.75</v>
      </c>
      <c r="E98" s="128">
        <v>0</v>
      </c>
      <c r="F98" s="454">
        <f t="shared" si="9"/>
        <v>0</v>
      </c>
      <c r="G98" s="128">
        <v>0</v>
      </c>
      <c r="I98" s="606"/>
      <c r="J98" s="607"/>
      <c r="K98" s="608"/>
      <c r="L98" s="604"/>
      <c r="M98" s="605"/>
      <c r="N98" s="604"/>
      <c r="X98"/>
      <c r="Y98"/>
      <c r="Z98"/>
      <c r="AA98"/>
      <c r="AB98"/>
      <c r="AC98"/>
    </row>
    <row r="99" spans="2:29" s="266" customFormat="1" ht="15" customHeight="1" x14ac:dyDescent="0.25">
      <c r="B99" s="439">
        <v>94</v>
      </c>
      <c r="C99" s="61" t="s">
        <v>2059</v>
      </c>
      <c r="D99" s="973">
        <v>1479999.99</v>
      </c>
      <c r="E99" s="128">
        <v>0</v>
      </c>
      <c r="F99" s="454">
        <f t="shared" si="9"/>
        <v>0</v>
      </c>
      <c r="G99" s="128">
        <v>0</v>
      </c>
      <c r="I99" s="606"/>
      <c r="J99" s="607"/>
      <c r="K99" s="608"/>
      <c r="L99" s="604"/>
      <c r="M99" s="605"/>
      <c r="N99" s="604"/>
      <c r="X99"/>
      <c r="Y99"/>
      <c r="Z99"/>
      <c r="AA99"/>
      <c r="AB99"/>
      <c r="AC99"/>
    </row>
    <row r="100" spans="2:29" s="266" customFormat="1" ht="15" customHeight="1" x14ac:dyDescent="0.25">
      <c r="B100" s="439">
        <v>95</v>
      </c>
      <c r="C100" s="61" t="s">
        <v>2070</v>
      </c>
      <c r="D100" s="973">
        <v>1297498.5</v>
      </c>
      <c r="E100" s="128">
        <v>0</v>
      </c>
      <c r="F100" s="454">
        <f t="shared" si="9"/>
        <v>0</v>
      </c>
      <c r="G100" s="128">
        <v>0</v>
      </c>
      <c r="I100" s="606"/>
      <c r="J100" s="607"/>
      <c r="K100" s="608"/>
      <c r="L100" s="604"/>
      <c r="M100" s="605"/>
      <c r="N100" s="604"/>
      <c r="X100"/>
      <c r="Y100"/>
      <c r="Z100"/>
      <c r="AA100"/>
      <c r="AB100"/>
      <c r="AC100"/>
    </row>
    <row r="101" spans="2:29" s="266" customFormat="1" ht="15" customHeight="1" x14ac:dyDescent="0.25">
      <c r="B101" s="559">
        <v>96</v>
      </c>
      <c r="C101" s="61" t="s">
        <v>2071</v>
      </c>
      <c r="D101" s="973">
        <v>1052248.8799999999</v>
      </c>
      <c r="E101" s="128">
        <v>0</v>
      </c>
      <c r="F101" s="454">
        <f t="shared" si="9"/>
        <v>0</v>
      </c>
      <c r="G101" s="128">
        <v>0</v>
      </c>
      <c r="I101" s="606"/>
      <c r="J101" s="607"/>
      <c r="K101" s="608"/>
      <c r="L101" s="604"/>
      <c r="M101" s="605"/>
      <c r="N101" s="604"/>
      <c r="X101"/>
      <c r="Y101"/>
      <c r="Z101"/>
      <c r="AA101"/>
      <c r="AB101"/>
      <c r="AC101"/>
    </row>
    <row r="102" spans="2:29" s="266" customFormat="1" ht="15" customHeight="1" x14ac:dyDescent="0.25">
      <c r="B102" s="439">
        <v>97</v>
      </c>
      <c r="C102" s="61" t="s">
        <v>2078</v>
      </c>
      <c r="D102" s="973">
        <v>978350</v>
      </c>
      <c r="E102" s="128">
        <v>0</v>
      </c>
      <c r="F102" s="454">
        <f t="shared" si="9"/>
        <v>0</v>
      </c>
      <c r="G102" s="128">
        <v>0</v>
      </c>
      <c r="I102" s="606"/>
      <c r="J102" s="607"/>
      <c r="K102" s="608"/>
      <c r="L102" s="604"/>
      <c r="M102" s="605"/>
      <c r="N102" s="604"/>
      <c r="X102"/>
      <c r="Y102"/>
      <c r="Z102"/>
      <c r="AA102"/>
      <c r="AB102"/>
      <c r="AC102"/>
    </row>
    <row r="103" spans="2:29" s="266" customFormat="1" ht="15" customHeight="1" x14ac:dyDescent="0.25">
      <c r="B103" s="439">
        <v>98</v>
      </c>
      <c r="C103" s="61" t="s">
        <v>2077</v>
      </c>
      <c r="D103" s="973">
        <v>601375</v>
      </c>
      <c r="E103" s="128">
        <v>0</v>
      </c>
      <c r="F103" s="454">
        <f t="shared" si="9"/>
        <v>0</v>
      </c>
      <c r="G103" s="128">
        <v>0</v>
      </c>
      <c r="I103" s="606"/>
      <c r="J103" s="607"/>
      <c r="K103" s="608"/>
      <c r="L103" s="604"/>
      <c r="M103" s="605"/>
      <c r="N103" s="604"/>
      <c r="X103"/>
      <c r="Y103"/>
      <c r="Z103"/>
      <c r="AA103"/>
      <c r="AB103"/>
      <c r="AC103"/>
    </row>
    <row r="104" spans="2:29" s="266" customFormat="1" ht="15" customHeight="1" x14ac:dyDescent="0.25">
      <c r="B104" s="559">
        <v>99</v>
      </c>
      <c r="C104" s="61" t="s">
        <v>2073</v>
      </c>
      <c r="D104" s="973">
        <v>1113133.08</v>
      </c>
      <c r="E104" s="128">
        <v>0</v>
      </c>
      <c r="F104" s="454">
        <f t="shared" si="9"/>
        <v>0</v>
      </c>
      <c r="G104" s="128">
        <v>0</v>
      </c>
      <c r="I104" s="606"/>
      <c r="J104" s="607"/>
      <c r="K104" s="608"/>
      <c r="L104" s="604"/>
      <c r="M104" s="605"/>
      <c r="N104" s="604"/>
      <c r="X104"/>
      <c r="Y104"/>
      <c r="Z104"/>
      <c r="AA104"/>
      <c r="AB104"/>
      <c r="AC104"/>
    </row>
    <row r="105" spans="2:29" s="266" customFormat="1" ht="15" customHeight="1" x14ac:dyDescent="0.25">
      <c r="B105" s="439">
        <v>100</v>
      </c>
      <c r="C105" s="61" t="s">
        <v>2021</v>
      </c>
      <c r="D105" s="98">
        <v>950059.16</v>
      </c>
      <c r="E105" s="128">
        <v>0</v>
      </c>
      <c r="F105" s="454">
        <f t="shared" si="9"/>
        <v>0</v>
      </c>
      <c r="G105" s="128">
        <v>0</v>
      </c>
      <c r="I105" s="606"/>
      <c r="J105" s="607"/>
      <c r="K105" s="608"/>
      <c r="L105" s="604"/>
      <c r="M105" s="605"/>
      <c r="N105" s="604"/>
      <c r="X105"/>
      <c r="Y105"/>
      <c r="Z105"/>
      <c r="AA105"/>
      <c r="AB105"/>
      <c r="AC105"/>
    </row>
    <row r="106" spans="2:29" s="266" customFormat="1" ht="15" customHeight="1" x14ac:dyDescent="0.25">
      <c r="B106" s="439">
        <v>101</v>
      </c>
      <c r="C106" s="61" t="s">
        <v>2029</v>
      </c>
      <c r="D106" s="972">
        <v>1480000</v>
      </c>
      <c r="E106" s="128">
        <v>0</v>
      </c>
      <c r="F106" s="454">
        <f t="shared" si="9"/>
        <v>0</v>
      </c>
      <c r="G106" s="128">
        <v>0</v>
      </c>
      <c r="I106" s="606"/>
      <c r="J106" s="607"/>
      <c r="K106" s="608"/>
      <c r="L106" s="604"/>
      <c r="M106" s="605"/>
      <c r="N106" s="604"/>
      <c r="X106"/>
      <c r="Y106"/>
      <c r="Z106"/>
      <c r="AA106"/>
      <c r="AB106"/>
      <c r="AC106"/>
    </row>
    <row r="107" spans="2:29" s="266" customFormat="1" ht="15" customHeight="1" x14ac:dyDescent="0.25">
      <c r="B107" s="559">
        <v>102</v>
      </c>
      <c r="C107" s="61" t="s">
        <v>2072</v>
      </c>
      <c r="D107" s="973">
        <v>1169954.1399999999</v>
      </c>
      <c r="E107" s="128">
        <v>0</v>
      </c>
      <c r="F107" s="454">
        <f t="shared" si="9"/>
        <v>0</v>
      </c>
      <c r="G107" s="128">
        <v>0</v>
      </c>
      <c r="I107" s="606"/>
      <c r="J107" s="607"/>
      <c r="K107" s="608"/>
      <c r="L107" s="604"/>
      <c r="M107" s="605"/>
      <c r="N107" s="604"/>
      <c r="X107" s="55"/>
      <c r="Y107" s="55"/>
      <c r="Z107" s="55"/>
      <c r="AA107" s="55"/>
      <c r="AB107" s="55"/>
      <c r="AC107" s="55"/>
    </row>
    <row r="108" spans="2:29" s="266" customFormat="1" ht="15" customHeight="1" x14ac:dyDescent="0.25">
      <c r="B108" s="439">
        <v>103</v>
      </c>
      <c r="C108" s="61" t="s">
        <v>2075</v>
      </c>
      <c r="D108" s="973">
        <v>1080913.01</v>
      </c>
      <c r="E108" s="128">
        <v>0</v>
      </c>
      <c r="F108" s="454">
        <f t="shared" si="9"/>
        <v>0</v>
      </c>
      <c r="G108" s="128">
        <v>0</v>
      </c>
      <c r="I108" s="606"/>
      <c r="J108" s="607"/>
      <c r="K108" s="608"/>
      <c r="L108" s="604"/>
      <c r="M108" s="605"/>
      <c r="N108" s="604"/>
      <c r="X108" s="55"/>
      <c r="Y108" s="55"/>
      <c r="Z108" s="55"/>
      <c r="AA108" s="55"/>
      <c r="AB108" s="55"/>
      <c r="AC108" s="55"/>
    </row>
    <row r="109" spans="2:29" s="266" customFormat="1" ht="15" customHeight="1" x14ac:dyDescent="0.25">
      <c r="B109" s="559">
        <v>104</v>
      </c>
      <c r="C109" s="61" t="s">
        <v>2074</v>
      </c>
      <c r="D109" s="973">
        <v>1338090.48</v>
      </c>
      <c r="E109" s="128">
        <v>0</v>
      </c>
      <c r="F109" s="454">
        <f t="shared" si="9"/>
        <v>0</v>
      </c>
      <c r="G109" s="128">
        <v>0</v>
      </c>
      <c r="I109" s="606"/>
      <c r="J109" s="607"/>
      <c r="K109" s="608"/>
      <c r="L109" s="604"/>
      <c r="M109" s="605"/>
      <c r="N109" s="604"/>
      <c r="X109" s="55"/>
      <c r="Y109" s="55"/>
      <c r="Z109" s="55"/>
      <c r="AA109" s="55"/>
      <c r="AB109" s="55"/>
      <c r="AC109" s="55"/>
    </row>
    <row r="110" spans="2:29" s="266" customFormat="1" ht="15" customHeight="1" x14ac:dyDescent="0.25">
      <c r="B110" s="439">
        <v>105</v>
      </c>
      <c r="C110" s="61" t="s">
        <v>2076</v>
      </c>
      <c r="D110" s="973">
        <v>1440410</v>
      </c>
      <c r="E110" s="128">
        <v>0</v>
      </c>
      <c r="F110" s="454">
        <f t="shared" si="9"/>
        <v>0</v>
      </c>
      <c r="G110" s="128">
        <v>0</v>
      </c>
      <c r="I110" s="606"/>
      <c r="J110" s="607"/>
      <c r="K110" s="608"/>
      <c r="L110" s="604"/>
      <c r="M110" s="605"/>
      <c r="N110" s="604"/>
      <c r="X110" s="55"/>
      <c r="Y110" s="55"/>
      <c r="Z110" s="55"/>
      <c r="AA110" s="55"/>
      <c r="AB110" s="55"/>
      <c r="AC110" s="55"/>
    </row>
    <row r="111" spans="2:29" s="266" customFormat="1" ht="15" customHeight="1" x14ac:dyDescent="0.25">
      <c r="B111" s="559">
        <v>106</v>
      </c>
      <c r="C111" s="61" t="s">
        <v>2079</v>
      </c>
      <c r="D111" s="973">
        <v>1479999.99</v>
      </c>
      <c r="E111" s="128">
        <v>0</v>
      </c>
      <c r="F111" s="454">
        <f t="shared" si="9"/>
        <v>0</v>
      </c>
      <c r="G111" s="128">
        <v>0</v>
      </c>
      <c r="I111" s="606"/>
      <c r="J111" s="607"/>
      <c r="K111" s="608"/>
      <c r="L111" s="604"/>
      <c r="M111" s="605"/>
      <c r="N111" s="604"/>
      <c r="X111" s="55"/>
      <c r="Y111" s="55"/>
      <c r="Z111" s="55"/>
      <c r="AA111" s="55"/>
      <c r="AB111" s="55"/>
      <c r="AC111" s="55"/>
    </row>
    <row r="112" spans="2:29" s="266" customFormat="1" ht="15" customHeight="1" x14ac:dyDescent="0.25">
      <c r="B112" s="439">
        <v>107</v>
      </c>
      <c r="C112" s="61" t="s">
        <v>2081</v>
      </c>
      <c r="D112" s="973">
        <v>1149616.99</v>
      </c>
      <c r="E112" s="128">
        <v>0</v>
      </c>
      <c r="F112" s="454">
        <f t="shared" si="9"/>
        <v>0</v>
      </c>
      <c r="G112" s="128">
        <v>0</v>
      </c>
      <c r="I112" s="606"/>
      <c r="J112" s="607"/>
      <c r="K112" s="608"/>
      <c r="L112" s="604"/>
      <c r="M112" s="605"/>
      <c r="N112" s="604"/>
      <c r="X112" s="55"/>
      <c r="Y112" s="55"/>
      <c r="Z112" s="55"/>
      <c r="AA112" s="55"/>
      <c r="AB112" s="55"/>
      <c r="AC112" s="55"/>
    </row>
    <row r="113" spans="2:30" s="266" customFormat="1" ht="15" customHeight="1" x14ac:dyDescent="0.25">
      <c r="B113" s="559">
        <v>108</v>
      </c>
      <c r="C113" s="61" t="s">
        <v>2082</v>
      </c>
      <c r="D113" s="973">
        <v>1480000</v>
      </c>
      <c r="E113" s="128">
        <v>0</v>
      </c>
      <c r="F113" s="454">
        <f t="shared" si="9"/>
        <v>0</v>
      </c>
      <c r="G113" s="128">
        <v>0</v>
      </c>
      <c r="I113" s="606"/>
      <c r="J113" s="607"/>
      <c r="K113" s="608"/>
      <c r="L113" s="609"/>
      <c r="M113" s="609"/>
      <c r="N113" s="609"/>
      <c r="X113" s="55"/>
      <c r="Y113" s="55"/>
      <c r="Z113" s="55"/>
      <c r="AA113" s="55"/>
      <c r="AB113" s="55"/>
      <c r="AC113" s="55"/>
    </row>
    <row r="114" spans="2:30" s="266" customFormat="1" ht="15" customHeight="1" x14ac:dyDescent="0.25">
      <c r="B114" s="439">
        <v>109</v>
      </c>
      <c r="C114" s="61" t="s">
        <v>2096</v>
      </c>
      <c r="D114" s="973">
        <v>1293965.76</v>
      </c>
      <c r="E114" s="128">
        <v>0</v>
      </c>
      <c r="F114" s="454">
        <f t="shared" si="9"/>
        <v>0</v>
      </c>
      <c r="G114" s="128">
        <v>0</v>
      </c>
      <c r="I114" s="606"/>
      <c r="J114" s="607"/>
      <c r="K114" s="608"/>
      <c r="L114" s="609"/>
      <c r="M114" s="609"/>
      <c r="N114" s="609"/>
      <c r="X114" s="55"/>
      <c r="Y114" s="55"/>
      <c r="Z114" s="55"/>
      <c r="AA114" s="55"/>
      <c r="AB114" s="55"/>
      <c r="AC114" s="55"/>
    </row>
    <row r="115" spans="2:30" s="266" customFormat="1" ht="15" customHeight="1" x14ac:dyDescent="0.25">
      <c r="B115" s="559">
        <v>110</v>
      </c>
      <c r="C115" s="61" t="s">
        <v>2097</v>
      </c>
      <c r="D115" s="973">
        <v>1400000</v>
      </c>
      <c r="E115" s="128">
        <v>0</v>
      </c>
      <c r="F115" s="454">
        <f t="shared" si="9"/>
        <v>0</v>
      </c>
      <c r="G115" s="128">
        <v>0</v>
      </c>
      <c r="I115" s="606"/>
      <c r="J115" s="607"/>
      <c r="K115" s="608"/>
      <c r="X115" s="55"/>
      <c r="Y115" s="55"/>
      <c r="Z115" s="55"/>
      <c r="AA115" s="55"/>
      <c r="AB115" s="55"/>
      <c r="AC115" s="55"/>
      <c r="AD115" s="55"/>
    </row>
    <row r="116" spans="2:30" s="55" customFormat="1" ht="15" customHeight="1" x14ac:dyDescent="0.25">
      <c r="B116" s="439">
        <v>111</v>
      </c>
      <c r="C116" s="61" t="s">
        <v>2098</v>
      </c>
      <c r="D116" s="973">
        <v>600992.5</v>
      </c>
      <c r="E116" s="128">
        <v>0</v>
      </c>
      <c r="F116" s="454">
        <f t="shared" si="9"/>
        <v>0</v>
      </c>
      <c r="G116" s="128">
        <v>0</v>
      </c>
      <c r="H116"/>
      <c r="I116" s="610"/>
      <c r="J116" s="610"/>
      <c r="K116" s="604"/>
      <c r="L116" s="266"/>
      <c r="M116" s="266"/>
      <c r="N116" s="266"/>
      <c r="O116" s="266"/>
      <c r="T116" s="266"/>
      <c r="U116" s="266"/>
      <c r="V116" s="266"/>
    </row>
    <row r="117" spans="2:30" s="55" customFormat="1" ht="15" customHeight="1" x14ac:dyDescent="0.25">
      <c r="B117" s="559">
        <v>112</v>
      </c>
      <c r="C117" s="61" t="s">
        <v>2100</v>
      </c>
      <c r="D117" s="973">
        <v>1126250</v>
      </c>
      <c r="E117" s="128">
        <v>0</v>
      </c>
      <c r="F117" s="454">
        <f t="shared" si="9"/>
        <v>0</v>
      </c>
      <c r="G117" s="128">
        <v>0</v>
      </c>
      <c r="H117"/>
      <c r="I117" s="611"/>
      <c r="J117" s="611"/>
      <c r="K117" s="611"/>
    </row>
    <row r="118" spans="2:30" s="55" customFormat="1" ht="15" customHeight="1" x14ac:dyDescent="0.25">
      <c r="B118" s="439">
        <v>113</v>
      </c>
      <c r="C118" s="61" t="s">
        <v>2099</v>
      </c>
      <c r="D118" s="973">
        <v>1227265.04</v>
      </c>
      <c r="E118" s="128">
        <v>0</v>
      </c>
      <c r="F118" s="454">
        <f t="shared" si="9"/>
        <v>0</v>
      </c>
      <c r="G118" s="128">
        <v>0</v>
      </c>
      <c r="H118"/>
      <c r="I118" s="606"/>
      <c r="J118" s="610"/>
      <c r="K118" s="604"/>
    </row>
    <row r="119" spans="2:30" s="55" customFormat="1" ht="15" customHeight="1" x14ac:dyDescent="0.25">
      <c r="B119" s="559">
        <v>114</v>
      </c>
      <c r="C119" s="61" t="s">
        <v>2095</v>
      </c>
      <c r="D119" s="973">
        <v>905374.73</v>
      </c>
      <c r="E119" s="128">
        <v>0</v>
      </c>
      <c r="F119" s="454">
        <f t="shared" si="9"/>
        <v>0</v>
      </c>
      <c r="G119" s="128">
        <v>0</v>
      </c>
      <c r="H119"/>
      <c r="I119" s="606"/>
      <c r="J119" s="610"/>
      <c r="K119" s="604"/>
    </row>
    <row r="120" spans="2:30" s="55" customFormat="1" ht="15" customHeight="1" x14ac:dyDescent="0.25">
      <c r="B120" s="439">
        <v>115</v>
      </c>
      <c r="C120" s="61" t="s">
        <v>2101</v>
      </c>
      <c r="D120" s="973">
        <v>987447.83</v>
      </c>
      <c r="E120" s="128">
        <v>0</v>
      </c>
      <c r="F120" s="454">
        <f t="shared" si="9"/>
        <v>0</v>
      </c>
      <c r="G120" s="128">
        <v>0</v>
      </c>
      <c r="H120"/>
      <c r="I120" s="432"/>
      <c r="J120" s="526"/>
      <c r="K120" s="527"/>
    </row>
    <row r="121" spans="2:30" s="55" customFormat="1" ht="15" customHeight="1" x14ac:dyDescent="0.25">
      <c r="B121" s="559">
        <v>116</v>
      </c>
      <c r="C121" s="61" t="s">
        <v>2111</v>
      </c>
      <c r="D121" s="135">
        <v>1474648</v>
      </c>
      <c r="E121" s="128">
        <v>0</v>
      </c>
      <c r="F121" s="454">
        <f t="shared" si="9"/>
        <v>0</v>
      </c>
      <c r="G121" s="128">
        <v>0</v>
      </c>
      <c r="H121"/>
      <c r="I121" s="432"/>
      <c r="J121" s="526"/>
      <c r="K121" s="527"/>
    </row>
    <row r="122" spans="2:30" s="55" customFormat="1" ht="15" customHeight="1" x14ac:dyDescent="0.25">
      <c r="B122" s="439">
        <v>117</v>
      </c>
      <c r="C122" s="61" t="s">
        <v>2102</v>
      </c>
      <c r="D122" s="135">
        <v>1237784.1599999999</v>
      </c>
      <c r="E122" s="128">
        <v>0</v>
      </c>
      <c r="F122" s="454">
        <f t="shared" si="9"/>
        <v>0</v>
      </c>
      <c r="G122" s="128">
        <v>0</v>
      </c>
      <c r="H122"/>
      <c r="I122" s="432"/>
      <c r="J122" s="526"/>
      <c r="K122" s="527"/>
    </row>
    <row r="123" spans="2:30" s="55" customFormat="1" ht="15" customHeight="1" x14ac:dyDescent="0.25">
      <c r="B123" s="559">
        <v>118</v>
      </c>
      <c r="C123" s="61"/>
      <c r="D123" s="973"/>
      <c r="E123" s="128"/>
      <c r="F123" s="454"/>
      <c r="G123" s="128"/>
      <c r="H123"/>
      <c r="I123" s="432"/>
      <c r="J123" s="526"/>
      <c r="K123" s="527"/>
    </row>
    <row r="124" spans="2:30" s="55" customFormat="1" ht="15" customHeight="1" x14ac:dyDescent="0.25">
      <c r="B124" s="603"/>
      <c r="C124" s="1326" t="s">
        <v>1181</v>
      </c>
      <c r="D124" s="1323">
        <f>SUM(D6:D123)</f>
        <v>139403225.32999998</v>
      </c>
      <c r="E124" s="1323">
        <f>SUM(E6:E123)</f>
        <v>7915518.8300000001</v>
      </c>
      <c r="F124" s="1324">
        <f>E124/D124</f>
        <v>5.6781461198348308E-2</v>
      </c>
      <c r="G124" s="1323">
        <f>SUM(G6:G123)</f>
        <v>10029944.82</v>
      </c>
      <c r="H124"/>
      <c r="I124" s="432"/>
      <c r="J124" s="526"/>
      <c r="K124" s="527"/>
    </row>
    <row r="125" spans="2:30" s="55" customFormat="1" ht="15" customHeight="1" x14ac:dyDescent="0.25">
      <c r="B125"/>
      <c r="C125"/>
      <c r="D125"/>
      <c r="E125"/>
      <c r="F125"/>
      <c r="G125"/>
      <c r="H125"/>
      <c r="I125" s="432"/>
      <c r="J125" s="526"/>
      <c r="K125" s="527"/>
    </row>
    <row r="126" spans="2:30" s="55" customFormat="1" ht="15" customHeight="1" x14ac:dyDescent="0.25">
      <c r="B126"/>
      <c r="C126"/>
      <c r="D126"/>
      <c r="E126"/>
      <c r="F126"/>
      <c r="G126"/>
      <c r="H126"/>
      <c r="I126" s="432"/>
      <c r="J126" s="526"/>
      <c r="K126" s="527"/>
    </row>
    <row r="127" spans="2:30" s="55" customFormat="1" ht="15" customHeight="1" x14ac:dyDescent="0.25">
      <c r="B127"/>
      <c r="C127"/>
      <c r="D127"/>
      <c r="E127"/>
      <c r="F127"/>
      <c r="G127"/>
      <c r="H127"/>
      <c r="I127" s="432"/>
      <c r="J127" s="526"/>
      <c r="K127" s="527"/>
    </row>
    <row r="128" spans="2:30" s="55" customFormat="1" ht="15" customHeight="1" x14ac:dyDescent="0.25">
      <c r="B128" s="1488" t="s">
        <v>1182</v>
      </c>
      <c r="C128" s="1489"/>
      <c r="D128" s="1490"/>
      <c r="E128"/>
      <c r="F128"/>
      <c r="G128"/>
      <c r="H128"/>
      <c r="I128" s="432"/>
      <c r="J128" s="526"/>
      <c r="K128" s="527"/>
    </row>
    <row r="129" spans="2:11" s="55" customFormat="1" ht="15" customHeight="1" x14ac:dyDescent="0.25">
      <c r="B129" s="1491"/>
      <c r="C129" s="1492"/>
      <c r="D129" s="1493"/>
      <c r="E129"/>
      <c r="F129"/>
      <c r="G129"/>
      <c r="H129"/>
      <c r="I129" s="432"/>
      <c r="J129" s="526"/>
      <c r="K129" s="527"/>
    </row>
    <row r="130" spans="2:11" s="55" customFormat="1" ht="15" customHeight="1" x14ac:dyDescent="0.25">
      <c r="B130" s="583" t="s">
        <v>1094</v>
      </c>
      <c r="C130" s="583" t="s">
        <v>905</v>
      </c>
      <c r="D130" s="583" t="s">
        <v>1095</v>
      </c>
      <c r="E130"/>
      <c r="F130"/>
      <c r="G130"/>
      <c r="H130"/>
      <c r="I130" s="432"/>
      <c r="J130" s="526"/>
      <c r="K130" s="527"/>
    </row>
    <row r="131" spans="2:11" s="55" customFormat="1" ht="15" customHeight="1" x14ac:dyDescent="0.25">
      <c r="B131" s="496">
        <v>1</v>
      </c>
      <c r="C131" s="1009" t="s">
        <v>2080</v>
      </c>
      <c r="D131" s="1010">
        <v>761883.11</v>
      </c>
      <c r="E131" s="266"/>
      <c r="F131" s="266"/>
      <c r="G131" s="266"/>
      <c r="H131"/>
      <c r="I131" s="432"/>
      <c r="J131" s="526"/>
      <c r="K131" s="527"/>
    </row>
    <row r="132" spans="2:11" s="55" customFormat="1" ht="15" customHeight="1" x14ac:dyDescent="0.25">
      <c r="B132" s="593">
        <v>2</v>
      </c>
      <c r="C132" s="61" t="s">
        <v>2121</v>
      </c>
      <c r="D132" s="135">
        <v>1128885.44</v>
      </c>
      <c r="E132" s="188"/>
      <c r="F132" s="188"/>
      <c r="G132" s="188"/>
      <c r="H132"/>
      <c r="I132" s="432"/>
      <c r="J132" s="526"/>
      <c r="K132" s="527"/>
    </row>
    <row r="133" spans="2:11" s="55" customFormat="1" ht="15" customHeight="1" x14ac:dyDescent="0.25">
      <c r="B133" s="601" t="s">
        <v>1181</v>
      </c>
      <c r="C133" s="601"/>
      <c r="D133" s="602">
        <f>SUM(D131:D132)</f>
        <v>1890768.5499999998</v>
      </c>
      <c r="E133" s="188"/>
      <c r="F133" s="188"/>
      <c r="G133" s="188"/>
      <c r="H133"/>
      <c r="I133" s="432"/>
      <c r="J133" s="526"/>
      <c r="K133" s="527"/>
    </row>
    <row r="134" spans="2:11" s="55" customFormat="1" ht="15" customHeight="1" x14ac:dyDescent="0.25">
      <c r="B134" s="1172"/>
      <c r="C134" s="266"/>
      <c r="D134" s="266"/>
      <c r="E134" s="266"/>
      <c r="F134" s="266"/>
      <c r="G134" s="266"/>
      <c r="H134"/>
      <c r="I134" s="432"/>
      <c r="J134" s="526"/>
      <c r="K134" s="527"/>
    </row>
    <row r="135" spans="2:11" s="55" customFormat="1" ht="15" customHeight="1" x14ac:dyDescent="0.25">
      <c r="B135" s="1501" t="s">
        <v>1196</v>
      </c>
      <c r="C135" s="1501"/>
      <c r="D135" s="1501"/>
      <c r="E135" s="266"/>
      <c r="F135" s="266"/>
      <c r="G135" s="266"/>
      <c r="H135"/>
      <c r="I135" s="432"/>
      <c r="J135" s="526"/>
      <c r="K135" s="527"/>
    </row>
    <row r="136" spans="2:11" s="55" customFormat="1" ht="15" customHeight="1" x14ac:dyDescent="0.25">
      <c r="B136" s="1501"/>
      <c r="C136" s="1501"/>
      <c r="D136" s="1501"/>
      <c r="E136" s="266"/>
      <c r="F136" s="266"/>
      <c r="G136" s="266"/>
      <c r="H136"/>
      <c r="I136" s="432"/>
      <c r="J136" s="526"/>
      <c r="K136" s="527"/>
    </row>
    <row r="137" spans="2:11" s="55" customFormat="1" ht="15" customHeight="1" x14ac:dyDescent="0.25">
      <c r="B137" s="1173"/>
      <c r="C137" s="266"/>
      <c r="D137" s="266"/>
      <c r="E137" s="266"/>
      <c r="F137" s="266"/>
      <c r="G137" s="266"/>
      <c r="H137"/>
      <c r="I137" s="432"/>
      <c r="J137" s="526"/>
      <c r="K137" s="527"/>
    </row>
    <row r="138" spans="2:11" s="55" customFormat="1" ht="15" customHeight="1" x14ac:dyDescent="0.25">
      <c r="B138" s="1173"/>
      <c r="C138" s="266"/>
      <c r="D138" s="266"/>
      <c r="E138" s="266"/>
      <c r="F138" s="266"/>
      <c r="G138" s="266"/>
      <c r="H138"/>
      <c r="I138" s="612"/>
      <c r="J138" s="612"/>
      <c r="K138" s="612"/>
    </row>
    <row r="139" spans="2:11" s="55" customFormat="1" ht="15" customHeight="1" x14ac:dyDescent="0.25">
      <c r="B139" s="1174"/>
      <c r="C139" s="266"/>
      <c r="D139" s="266"/>
      <c r="E139" s="266"/>
      <c r="F139" s="266"/>
      <c r="G139" s="266"/>
      <c r="H139"/>
      <c r="I139" s="612"/>
      <c r="J139" s="612"/>
      <c r="K139" s="612"/>
    </row>
    <row r="140" spans="2:11" s="55" customFormat="1" ht="15" customHeight="1" x14ac:dyDescent="0.25">
      <c r="B140" s="266"/>
      <c r="C140" s="266"/>
      <c r="D140" s="266"/>
      <c r="E140" s="266"/>
      <c r="F140" s="266"/>
      <c r="G140" s="266"/>
      <c r="H140"/>
      <c r="I140" s="544"/>
      <c r="J140" s="544"/>
      <c r="K140" s="544"/>
    </row>
    <row r="141" spans="2:11" s="55" customFormat="1" ht="15" customHeight="1" x14ac:dyDescent="0.25">
      <c r="B141" s="1311"/>
      <c r="C141" s="266"/>
      <c r="D141" s="266"/>
      <c r="E141" s="266"/>
      <c r="F141" s="266"/>
      <c r="G141" s="266"/>
      <c r="H141"/>
      <c r="I141" s="544"/>
      <c r="J141" s="482"/>
      <c r="K141" s="545"/>
    </row>
    <row r="142" spans="2:11" s="55" customFormat="1" ht="15" customHeight="1" x14ac:dyDescent="0.25">
      <c r="B142" s="1311"/>
      <c r="C142" s="266"/>
      <c r="D142" s="266"/>
      <c r="E142" s="266"/>
      <c r="F142" s="266"/>
      <c r="G142" s="266"/>
      <c r="H142"/>
      <c r="I142" s="544"/>
      <c r="J142" s="546"/>
      <c r="K142" s="547"/>
    </row>
    <row r="143" spans="2:11" s="55" customFormat="1" ht="15" customHeight="1" x14ac:dyDescent="0.25">
      <c r="B143" s="266"/>
      <c r="C143" s="266"/>
      <c r="D143" s="266"/>
      <c r="E143" s="266"/>
      <c r="F143" s="266"/>
      <c r="G143" s="266"/>
      <c r="H143"/>
      <c r="I143" s="612"/>
      <c r="J143" s="612"/>
      <c r="K143" s="612"/>
    </row>
    <row r="144" spans="2:11" s="55" customFormat="1" ht="15" customHeight="1" x14ac:dyDescent="0.25">
      <c r="B144" s="266"/>
      <c r="C144" s="266"/>
      <c r="D144" s="266"/>
      <c r="E144" s="266"/>
      <c r="F144" s="266"/>
      <c r="G144" s="266"/>
      <c r="H144"/>
      <c r="I144" s="612"/>
      <c r="J144" s="612"/>
      <c r="K144" s="612"/>
    </row>
    <row r="145" spans="2:11" s="55" customFormat="1" ht="15" customHeight="1" x14ac:dyDescent="0.25">
      <c r="B145" s="266"/>
      <c r="C145" s="266"/>
      <c r="D145" s="266"/>
      <c r="E145" s="266"/>
      <c r="F145" s="266"/>
      <c r="G145" s="266"/>
      <c r="H145"/>
      <c r="I145" s="544"/>
      <c r="J145" s="544"/>
      <c r="K145" s="544"/>
    </row>
    <row r="146" spans="2:11" s="55" customFormat="1" ht="15" customHeight="1" x14ac:dyDescent="0.25">
      <c r="B146" s="266"/>
      <c r="C146" s="266"/>
      <c r="D146" s="266"/>
      <c r="E146" s="266"/>
      <c r="F146" s="266"/>
      <c r="G146" s="266"/>
      <c r="H146"/>
      <c r="I146" s="612"/>
      <c r="J146" s="612"/>
      <c r="K146" s="612"/>
    </row>
    <row r="147" spans="2:11" s="55" customFormat="1" ht="15" customHeight="1" x14ac:dyDescent="0.25">
      <c r="B147" s="266"/>
      <c r="C147" s="266"/>
      <c r="D147" s="266"/>
      <c r="E147" s="266"/>
      <c r="F147" s="266"/>
      <c r="G147" s="266"/>
      <c r="H147"/>
      <c r="I147" s="612"/>
      <c r="J147" s="612"/>
      <c r="K147" s="612"/>
    </row>
    <row r="148" spans="2:11" s="55" customFormat="1" ht="15" customHeight="1" x14ac:dyDescent="0.25">
      <c r="B148" s="266"/>
      <c r="C148" s="266"/>
      <c r="D148" s="266"/>
      <c r="E148" s="266"/>
      <c r="F148" s="266"/>
      <c r="G148" s="266"/>
      <c r="H148"/>
      <c r="I148" s="544"/>
      <c r="J148" s="544"/>
      <c r="K148" s="544"/>
    </row>
    <row r="149" spans="2:11" s="55" customFormat="1" ht="22.5" customHeight="1" x14ac:dyDescent="0.25">
      <c r="B149" s="266"/>
      <c r="C149" s="266"/>
      <c r="D149" s="266"/>
      <c r="E149" s="266"/>
      <c r="F149" s="266"/>
      <c r="G149" s="266"/>
      <c r="H149"/>
      <c r="I149" s="544"/>
      <c r="J149" s="482"/>
      <c r="K149" s="545"/>
    </row>
    <row r="150" spans="2:11" s="55" customFormat="1" ht="15" customHeight="1" x14ac:dyDescent="0.25">
      <c r="B150" s="266"/>
      <c r="C150" s="266"/>
      <c r="D150" s="266"/>
      <c r="E150" s="266"/>
      <c r="F150" s="266"/>
      <c r="G150" s="266"/>
      <c r="H150"/>
      <c r="I150" s="612"/>
      <c r="J150" s="612"/>
      <c r="K150" s="612"/>
    </row>
    <row r="151" spans="2:11" s="55" customFormat="1" ht="15" customHeight="1" x14ac:dyDescent="0.25">
      <c r="B151" s="266"/>
      <c r="C151" s="266"/>
      <c r="D151" s="266"/>
      <c r="E151" s="266"/>
      <c r="F151" s="266"/>
      <c r="G151" s="266"/>
      <c r="H151"/>
      <c r="I151" s="612"/>
      <c r="J151" s="612"/>
      <c r="K151" s="612"/>
    </row>
    <row r="152" spans="2:11" s="55" customFormat="1" ht="15" customHeight="1" x14ac:dyDescent="0.25">
      <c r="B152" s="266"/>
      <c r="C152" s="266"/>
      <c r="D152" s="266"/>
      <c r="E152" s="266"/>
      <c r="F152" s="266"/>
      <c r="G152" s="266"/>
      <c r="I152" s="612"/>
      <c r="J152" s="612"/>
      <c r="K152" s="612"/>
    </row>
    <row r="153" spans="2:11" s="55" customFormat="1" ht="15" customHeight="1" x14ac:dyDescent="0.25">
      <c r="B153" s="266"/>
      <c r="C153" s="266"/>
      <c r="D153" s="266"/>
      <c r="E153" s="266"/>
      <c r="F153" s="266"/>
      <c r="G153" s="266"/>
      <c r="I153" s="612"/>
      <c r="J153" s="612"/>
      <c r="K153" s="612"/>
    </row>
    <row r="154" spans="2:11" s="55" customFormat="1" ht="15" customHeight="1" x14ac:dyDescent="0.25">
      <c r="B154" s="266"/>
      <c r="C154" s="266"/>
      <c r="D154" s="266"/>
      <c r="E154" s="266"/>
      <c r="F154" s="266"/>
      <c r="G154" s="266"/>
      <c r="I154" s="544"/>
      <c r="J154" s="544"/>
      <c r="K154" s="544"/>
    </row>
    <row r="155" spans="2:11" s="55" customFormat="1" ht="15" customHeight="1" x14ac:dyDescent="0.25">
      <c r="B155" s="266"/>
      <c r="C155" s="266"/>
      <c r="D155" s="266"/>
      <c r="E155" s="266"/>
      <c r="F155" s="266"/>
      <c r="G155" s="266"/>
      <c r="I155" s="544"/>
      <c r="J155" s="433"/>
      <c r="K155" s="527"/>
    </row>
    <row r="156" spans="2:11" s="55" customFormat="1" ht="15" customHeight="1" x14ac:dyDescent="0.25">
      <c r="B156" s="266"/>
      <c r="C156" s="266"/>
      <c r="D156" s="266"/>
      <c r="E156" s="266"/>
      <c r="F156" s="266"/>
      <c r="G156" s="266"/>
      <c r="I156" s="544"/>
      <c r="J156" s="433"/>
      <c r="K156" s="527"/>
    </row>
    <row r="157" spans="2:11" s="55" customFormat="1" ht="15" customHeight="1" x14ac:dyDescent="0.25">
      <c r="B157" s="266"/>
      <c r="C157" s="266"/>
      <c r="D157" s="266"/>
      <c r="E157" s="266"/>
      <c r="F157" s="266"/>
      <c r="G157" s="266"/>
      <c r="I157" s="544"/>
      <c r="J157" s="433"/>
      <c r="K157" s="527"/>
    </row>
    <row r="158" spans="2:11" s="55" customFormat="1" ht="15" customHeight="1" x14ac:dyDescent="0.25">
      <c r="B158" s="266"/>
      <c r="C158" s="266"/>
      <c r="D158" s="266"/>
      <c r="E158" s="266"/>
      <c r="F158" s="266"/>
      <c r="G158" s="266"/>
      <c r="I158" s="613"/>
      <c r="K158" s="614"/>
    </row>
    <row r="159" spans="2:11" s="55" customFormat="1" ht="15" customHeight="1" x14ac:dyDescent="0.25">
      <c r="B159" s="266"/>
      <c r="C159" s="266"/>
      <c r="D159" s="266"/>
      <c r="E159" s="266"/>
      <c r="F159" s="266"/>
      <c r="G159" s="266"/>
      <c r="I159" s="613"/>
      <c r="J159" s="613"/>
      <c r="K159" s="614"/>
    </row>
    <row r="160" spans="2:11" s="55" customFormat="1" ht="15" customHeight="1" x14ac:dyDescent="0.25">
      <c r="B160" s="266"/>
      <c r="C160" s="266"/>
      <c r="D160" s="266"/>
      <c r="E160" s="266"/>
      <c r="F160" s="266"/>
      <c r="G160" s="266"/>
      <c r="I160" s="529"/>
      <c r="J160" s="529"/>
      <c r="K160" s="614"/>
    </row>
    <row r="161" spans="2:7" s="55" customFormat="1" ht="15" customHeight="1" x14ac:dyDescent="0.25">
      <c r="B161" s="266"/>
      <c r="C161" s="266"/>
      <c r="D161" s="266"/>
      <c r="E161" s="266"/>
      <c r="F161" s="266"/>
      <c r="G161" s="266"/>
    </row>
    <row r="162" spans="2:7" s="55" customFormat="1" ht="15" customHeight="1" x14ac:dyDescent="0.25">
      <c r="B162" s="266"/>
      <c r="C162" s="266"/>
      <c r="D162" s="266"/>
      <c r="E162"/>
      <c r="F162"/>
      <c r="G162"/>
    </row>
    <row r="163" spans="2:7" s="55" customFormat="1" ht="15" customHeight="1" x14ac:dyDescent="0.25">
      <c r="B163" s="266"/>
      <c r="C163"/>
      <c r="D163"/>
      <c r="E163"/>
      <c r="F163"/>
      <c r="G163"/>
    </row>
    <row r="164" spans="2:7" s="55" customFormat="1" ht="15" customHeight="1" x14ac:dyDescent="0.25">
      <c r="B164" s="266"/>
      <c r="C164"/>
      <c r="D164"/>
      <c r="E164"/>
      <c r="F164"/>
      <c r="G164"/>
    </row>
    <row r="165" spans="2:7" s="55" customFormat="1" ht="15" customHeight="1" x14ac:dyDescent="0.25">
      <c r="B165" s="266"/>
      <c r="C165"/>
      <c r="D165"/>
      <c r="E165"/>
      <c r="F165"/>
      <c r="G165"/>
    </row>
    <row r="166" spans="2:7" s="55" customFormat="1" ht="15" customHeight="1" x14ac:dyDescent="0.25">
      <c r="B166" s="266"/>
      <c r="C166"/>
      <c r="D166"/>
      <c r="E166"/>
      <c r="F166"/>
      <c r="G166"/>
    </row>
    <row r="167" spans="2:7" s="55" customFormat="1" ht="15" customHeight="1" x14ac:dyDescent="0.25">
      <c r="B167" s="266"/>
      <c r="C167"/>
      <c r="D167"/>
      <c r="E167"/>
      <c r="F167"/>
      <c r="G167"/>
    </row>
    <row r="168" spans="2:7" s="55" customFormat="1" ht="15" customHeight="1" x14ac:dyDescent="0.25">
      <c r="B168" s="266"/>
      <c r="C168"/>
      <c r="D168"/>
      <c r="E168"/>
      <c r="F168"/>
      <c r="G168"/>
    </row>
    <row r="169" spans="2:7" s="55" customFormat="1" ht="15" customHeight="1" x14ac:dyDescent="0.25">
      <c r="B169"/>
      <c r="C169"/>
      <c r="D169"/>
      <c r="E169"/>
      <c r="F169"/>
      <c r="G169"/>
    </row>
    <row r="170" spans="2:7" s="55" customFormat="1" ht="15" customHeight="1" x14ac:dyDescent="0.25">
      <c r="B170"/>
      <c r="C170"/>
      <c r="D170"/>
      <c r="E170"/>
      <c r="F170"/>
      <c r="G170"/>
    </row>
    <row r="171" spans="2:7" s="55" customFormat="1" ht="15" customHeight="1" x14ac:dyDescent="0.25">
      <c r="B171"/>
      <c r="C171"/>
      <c r="D171"/>
      <c r="E171"/>
      <c r="F171"/>
      <c r="G171"/>
    </row>
    <row r="172" spans="2:7" s="55" customFormat="1" ht="15" customHeight="1" x14ac:dyDescent="0.25">
      <c r="B172"/>
      <c r="C172"/>
      <c r="D172"/>
      <c r="E172"/>
      <c r="F172"/>
      <c r="G172"/>
    </row>
    <row r="173" spans="2:7" s="55" customFormat="1" ht="15" customHeight="1" x14ac:dyDescent="0.25">
      <c r="B173"/>
      <c r="C173"/>
      <c r="D173"/>
      <c r="E173"/>
      <c r="F173"/>
      <c r="G173"/>
    </row>
    <row r="174" spans="2:7" s="55" customFormat="1" ht="15" customHeight="1" x14ac:dyDescent="0.25">
      <c r="B174"/>
      <c r="C174"/>
      <c r="D174"/>
      <c r="E174"/>
      <c r="F174"/>
      <c r="G174"/>
    </row>
    <row r="175" spans="2:7" s="55" customFormat="1" ht="15" customHeight="1" x14ac:dyDescent="0.25">
      <c r="B175"/>
      <c r="C175"/>
      <c r="D175"/>
      <c r="E175"/>
      <c r="F175"/>
      <c r="G175"/>
    </row>
    <row r="176" spans="2:7" s="55" customFormat="1" ht="15" customHeight="1" x14ac:dyDescent="0.25">
      <c r="B176"/>
      <c r="C176"/>
      <c r="D176"/>
      <c r="E176"/>
      <c r="F176"/>
      <c r="G176"/>
    </row>
    <row r="177" spans="2:7" s="55" customFormat="1" ht="15" customHeight="1" x14ac:dyDescent="0.25">
      <c r="B177"/>
      <c r="C177"/>
      <c r="D177"/>
      <c r="E177"/>
      <c r="F177"/>
      <c r="G177"/>
    </row>
    <row r="178" spans="2:7" s="55" customFormat="1" ht="15" customHeight="1" x14ac:dyDescent="0.25">
      <c r="B178"/>
      <c r="C178"/>
      <c r="D178"/>
      <c r="E178"/>
      <c r="F178"/>
      <c r="G178"/>
    </row>
    <row r="179" spans="2:7" s="55" customFormat="1" ht="15" customHeight="1" x14ac:dyDescent="0.25">
      <c r="B179"/>
      <c r="C179"/>
      <c r="D179"/>
      <c r="E179"/>
      <c r="F179"/>
      <c r="G179"/>
    </row>
    <row r="180" spans="2:7" s="55" customFormat="1" ht="15" customHeight="1" x14ac:dyDescent="0.25">
      <c r="B180"/>
      <c r="C180"/>
      <c r="D180"/>
      <c r="E180"/>
      <c r="F180"/>
      <c r="G180"/>
    </row>
    <row r="181" spans="2:7" s="55" customFormat="1" ht="15" customHeight="1" x14ac:dyDescent="0.25">
      <c r="B181"/>
      <c r="C181"/>
      <c r="D181"/>
      <c r="E181"/>
      <c r="F181"/>
      <c r="G181"/>
    </row>
    <row r="182" spans="2:7" s="55" customFormat="1" ht="15" customHeight="1" x14ac:dyDescent="0.25">
      <c r="B182"/>
      <c r="C182"/>
      <c r="D182"/>
      <c r="E182"/>
      <c r="F182"/>
      <c r="G182"/>
    </row>
    <row r="183" spans="2:7" s="55" customFormat="1" ht="15" customHeight="1" x14ac:dyDescent="0.25">
      <c r="B183"/>
      <c r="C183"/>
      <c r="D183"/>
      <c r="E183"/>
      <c r="F183"/>
      <c r="G183"/>
    </row>
    <row r="184" spans="2:7" s="55" customFormat="1" ht="15" customHeight="1" x14ac:dyDescent="0.25">
      <c r="B184"/>
      <c r="C184"/>
      <c r="D184"/>
      <c r="E184"/>
      <c r="F184"/>
      <c r="G184"/>
    </row>
    <row r="185" spans="2:7" s="55" customFormat="1" ht="15" customHeight="1" x14ac:dyDescent="0.25">
      <c r="B185"/>
      <c r="C185"/>
      <c r="D185"/>
      <c r="E185"/>
      <c r="F185"/>
      <c r="G185"/>
    </row>
    <row r="186" spans="2:7" s="55" customFormat="1" ht="15" customHeight="1" x14ac:dyDescent="0.25">
      <c r="B186"/>
      <c r="C186"/>
      <c r="D186"/>
      <c r="E186"/>
      <c r="F186"/>
      <c r="G186"/>
    </row>
    <row r="187" spans="2:7" s="55" customFormat="1" ht="15" customHeight="1" x14ac:dyDescent="0.25">
      <c r="B187"/>
      <c r="C187"/>
      <c r="D187"/>
      <c r="E187"/>
      <c r="F187"/>
      <c r="G187"/>
    </row>
    <row r="188" spans="2:7" s="55" customFormat="1" ht="15" customHeight="1" x14ac:dyDescent="0.25">
      <c r="B188"/>
      <c r="C188"/>
      <c r="D188"/>
      <c r="E188"/>
      <c r="F188"/>
      <c r="G188"/>
    </row>
    <row r="189" spans="2:7" s="55" customFormat="1" ht="15" customHeight="1" x14ac:dyDescent="0.25">
      <c r="B189"/>
      <c r="C189"/>
      <c r="D189"/>
      <c r="E189"/>
      <c r="F189"/>
      <c r="G189"/>
    </row>
    <row r="190" spans="2:7" s="55" customFormat="1" ht="15" customHeight="1" x14ac:dyDescent="0.25">
      <c r="B190"/>
      <c r="C190"/>
      <c r="D190"/>
      <c r="E190"/>
      <c r="F190"/>
      <c r="G190"/>
    </row>
    <row r="191" spans="2:7" s="55" customFormat="1" ht="15" customHeight="1" x14ac:dyDescent="0.25">
      <c r="B191"/>
      <c r="C191"/>
      <c r="D191"/>
      <c r="E191"/>
      <c r="F191"/>
      <c r="G191"/>
    </row>
    <row r="192" spans="2:7" s="55" customFormat="1" ht="15" customHeight="1" x14ac:dyDescent="0.25">
      <c r="B192"/>
      <c r="C192"/>
      <c r="D192"/>
      <c r="E192"/>
      <c r="F192"/>
      <c r="G192"/>
    </row>
    <row r="193" spans="2:29" s="55" customFormat="1" ht="15" customHeight="1" x14ac:dyDescent="0.25">
      <c r="B193"/>
      <c r="C193"/>
      <c r="D193"/>
      <c r="E193"/>
      <c r="F193"/>
      <c r="G193"/>
    </row>
    <row r="194" spans="2:29" s="55" customFormat="1" ht="15" customHeight="1" x14ac:dyDescent="0.25">
      <c r="B194"/>
      <c r="C194"/>
      <c r="D194"/>
      <c r="E194"/>
      <c r="F194"/>
      <c r="G194"/>
    </row>
    <row r="195" spans="2:29" s="55" customFormat="1" ht="15" customHeight="1" x14ac:dyDescent="0.25">
      <c r="B195"/>
      <c r="C195"/>
      <c r="D195"/>
      <c r="E195"/>
      <c r="F195"/>
      <c r="G195"/>
    </row>
    <row r="196" spans="2:29" s="55" customFormat="1" ht="15" customHeight="1" x14ac:dyDescent="0.25">
      <c r="B196"/>
      <c r="C196"/>
      <c r="D196"/>
      <c r="E196"/>
      <c r="F196"/>
      <c r="G196"/>
    </row>
    <row r="197" spans="2:29" s="55" customFormat="1" ht="15" customHeight="1" x14ac:dyDescent="0.25">
      <c r="B197"/>
      <c r="C197"/>
      <c r="D197"/>
      <c r="E197"/>
      <c r="F197"/>
      <c r="G197"/>
    </row>
    <row r="198" spans="2:29" s="55" customFormat="1" ht="15" customHeight="1" x14ac:dyDescent="0.25">
      <c r="B198"/>
      <c r="C198"/>
      <c r="D198"/>
      <c r="E198"/>
      <c r="F198"/>
      <c r="G198"/>
      <c r="X198"/>
      <c r="Y198"/>
      <c r="Z198"/>
    </row>
    <row r="199" spans="2:29" s="55" customFormat="1" ht="15" customHeight="1" x14ac:dyDescent="0.25">
      <c r="B199"/>
      <c r="C199"/>
      <c r="D199"/>
      <c r="E199"/>
      <c r="F199"/>
      <c r="G199"/>
      <c r="X199"/>
      <c r="Y199"/>
      <c r="Z199"/>
    </row>
    <row r="200" spans="2:29" s="55" customFormat="1" ht="15" customHeight="1" x14ac:dyDescent="0.25">
      <c r="B200"/>
      <c r="C200"/>
      <c r="D200"/>
      <c r="E200"/>
      <c r="F200"/>
      <c r="G200"/>
      <c r="X200"/>
      <c r="Y200"/>
      <c r="Z200"/>
    </row>
    <row r="201" spans="2:29" s="55" customFormat="1" ht="15" customHeight="1" x14ac:dyDescent="0.25">
      <c r="B201"/>
      <c r="C201"/>
      <c r="D201"/>
      <c r="E201"/>
      <c r="F201"/>
      <c r="G201"/>
      <c r="X201"/>
      <c r="Y201"/>
      <c r="Z201"/>
    </row>
    <row r="202" spans="2:29" s="55" customFormat="1" ht="15" customHeight="1" x14ac:dyDescent="0.25">
      <c r="B202"/>
      <c r="C202"/>
      <c r="D202"/>
      <c r="E202"/>
      <c r="F202"/>
      <c r="G202"/>
      <c r="X202"/>
      <c r="Y202"/>
      <c r="Z202"/>
    </row>
    <row r="203" spans="2:29" s="55" customFormat="1" ht="15" customHeight="1" x14ac:dyDescent="0.25">
      <c r="B203"/>
      <c r="C203"/>
      <c r="D203"/>
      <c r="E203"/>
      <c r="F203"/>
      <c r="G203"/>
      <c r="X203"/>
      <c r="Y203"/>
      <c r="Z203"/>
    </row>
    <row r="204" spans="2:29" s="55" customFormat="1" ht="15" customHeight="1" x14ac:dyDescent="0.25">
      <c r="B204"/>
      <c r="C204"/>
      <c r="D204"/>
      <c r="E204"/>
      <c r="F204"/>
      <c r="G204"/>
      <c r="X204"/>
      <c r="Y204"/>
      <c r="Z204"/>
    </row>
    <row r="205" spans="2:29" s="55" customFormat="1" ht="15" customHeight="1" x14ac:dyDescent="0.25">
      <c r="B205"/>
      <c r="C205"/>
      <c r="D205"/>
      <c r="X205"/>
      <c r="Y205"/>
      <c r="Z205"/>
      <c r="AA205"/>
      <c r="AB205"/>
      <c r="AC205"/>
    </row>
    <row r="206" spans="2:29" s="55" customFormat="1" ht="15" customHeight="1" x14ac:dyDescent="0.25">
      <c r="B206"/>
      <c r="X206"/>
      <c r="Y206"/>
      <c r="Z206"/>
      <c r="AA206"/>
      <c r="AB206"/>
      <c r="AC206"/>
    </row>
    <row r="207" spans="2:29" s="55" customFormat="1" ht="15" customHeight="1" x14ac:dyDescent="0.25">
      <c r="B207"/>
      <c r="X207"/>
      <c r="Y207"/>
      <c r="Z207"/>
      <c r="AA207"/>
      <c r="AB207"/>
      <c r="AC207"/>
    </row>
    <row r="208" spans="2:29" s="55" customFormat="1" ht="15" customHeight="1" x14ac:dyDescent="0.25">
      <c r="B208"/>
      <c r="X208"/>
      <c r="Y208"/>
      <c r="Z208"/>
      <c r="AA208"/>
      <c r="AB208"/>
      <c r="AC208"/>
    </row>
    <row r="209" spans="2:30" s="55" customFormat="1" ht="15" customHeight="1" x14ac:dyDescent="0.25">
      <c r="B209"/>
      <c r="X209"/>
      <c r="Y209"/>
      <c r="Z209"/>
      <c r="AA209"/>
      <c r="AB209"/>
      <c r="AC209"/>
    </row>
    <row r="210" spans="2:30" s="55" customFormat="1" ht="15" customHeight="1" x14ac:dyDescent="0.25">
      <c r="B210"/>
      <c r="X210"/>
      <c r="Y210"/>
      <c r="Z210"/>
      <c r="AA210"/>
      <c r="AB210"/>
      <c r="AC210"/>
    </row>
    <row r="211" spans="2:30" s="55" customFormat="1" ht="15" customHeight="1" x14ac:dyDescent="0.25">
      <c r="B211"/>
      <c r="X211"/>
      <c r="Y211"/>
      <c r="Z211"/>
      <c r="AA211"/>
      <c r="AB211"/>
      <c r="AC211"/>
    </row>
    <row r="212" spans="2:30" s="55" customFormat="1" ht="15" customHeight="1" x14ac:dyDescent="0.25">
      <c r="X212"/>
      <c r="Y212"/>
      <c r="Z212"/>
      <c r="AA212"/>
      <c r="AB212"/>
      <c r="AC212"/>
    </row>
    <row r="213" spans="2:30" s="55" customFormat="1" ht="15" customHeight="1" x14ac:dyDescent="0.25">
      <c r="X213"/>
      <c r="Y213"/>
      <c r="Z213"/>
      <c r="AA213"/>
      <c r="AB213"/>
      <c r="AC213"/>
    </row>
    <row r="214" spans="2:30" s="55" customFormat="1" ht="15" customHeight="1" x14ac:dyDescent="0.25">
      <c r="X214"/>
      <c r="Y214"/>
      <c r="Z214"/>
      <c r="AA214"/>
      <c r="AB214"/>
      <c r="AC214"/>
    </row>
    <row r="215" spans="2:30" s="55" customFormat="1" ht="15" customHeight="1" x14ac:dyDescent="0.25">
      <c r="X215"/>
      <c r="Y215"/>
      <c r="Z215"/>
      <c r="AA215"/>
      <c r="AB215"/>
      <c r="AC215"/>
    </row>
    <row r="216" spans="2:30" s="55" customFormat="1" ht="15" customHeight="1" x14ac:dyDescent="0.25">
      <c r="X216"/>
      <c r="Y216"/>
      <c r="Z216"/>
      <c r="AA216"/>
      <c r="AB216"/>
      <c r="AC216"/>
    </row>
    <row r="217" spans="2:30" s="55" customFormat="1" ht="15" customHeight="1" x14ac:dyDescent="0.25">
      <c r="X217"/>
      <c r="Y217"/>
      <c r="Z217"/>
      <c r="AA217"/>
      <c r="AB217"/>
      <c r="AC217"/>
    </row>
    <row r="218" spans="2:30" s="55" customFormat="1" ht="15" customHeight="1" x14ac:dyDescent="0.25">
      <c r="X218"/>
      <c r="Y218"/>
      <c r="Z218"/>
      <c r="AA218"/>
      <c r="AB218"/>
      <c r="AC218"/>
    </row>
    <row r="219" spans="2:30" s="55" customFormat="1" ht="15" customHeight="1" x14ac:dyDescent="0.25">
      <c r="X219"/>
      <c r="Y219"/>
      <c r="Z219"/>
      <c r="AA219"/>
      <c r="AB219"/>
      <c r="AC219"/>
    </row>
    <row r="220" spans="2:30" s="55" customFormat="1" ht="15" customHeight="1" x14ac:dyDescent="0.25">
      <c r="X220"/>
      <c r="Y220"/>
      <c r="Z220"/>
      <c r="AA220"/>
      <c r="AB220"/>
      <c r="AC220"/>
    </row>
    <row r="221" spans="2:30" s="55" customFormat="1" ht="15" customHeight="1" x14ac:dyDescent="0.25">
      <c r="X221"/>
      <c r="Y221"/>
      <c r="Z221"/>
      <c r="AA221"/>
      <c r="AB221"/>
      <c r="AC221"/>
    </row>
    <row r="222" spans="2:30" s="55" customFormat="1" ht="15" customHeight="1" x14ac:dyDescent="0.25">
      <c r="Q222"/>
      <c r="R222"/>
      <c r="S222"/>
      <c r="X222"/>
      <c r="Y222"/>
      <c r="Z222"/>
      <c r="AA222"/>
      <c r="AB222"/>
      <c r="AC222"/>
    </row>
    <row r="223" spans="2:30" s="55" customFormat="1" ht="15" customHeight="1" x14ac:dyDescent="0.25">
      <c r="B223" s="180"/>
      <c r="Q223"/>
      <c r="R223"/>
      <c r="S223"/>
      <c r="X223"/>
      <c r="Y223"/>
      <c r="Z223"/>
      <c r="AA223"/>
      <c r="AB223"/>
      <c r="AC223"/>
    </row>
    <row r="224" spans="2:30" s="55" customFormat="1" ht="15" customHeight="1" x14ac:dyDescent="0.25">
      <c r="Q224"/>
      <c r="R224"/>
      <c r="S224"/>
      <c r="X224"/>
      <c r="Y224"/>
      <c r="Z224"/>
      <c r="AA224"/>
      <c r="AB224"/>
      <c r="AC224"/>
      <c r="AD224"/>
    </row>
    <row r="225" spans="2:30" s="55" customFormat="1" ht="15" customHeight="1" x14ac:dyDescent="0.25">
      <c r="Q225"/>
      <c r="R225"/>
      <c r="S225"/>
      <c r="X225"/>
      <c r="Y225"/>
      <c r="Z225"/>
      <c r="AA225"/>
      <c r="AB225"/>
      <c r="AC225"/>
      <c r="AD225"/>
    </row>
    <row r="226" spans="2:30" ht="15" customHeight="1" x14ac:dyDescent="0.25">
      <c r="B226" s="55"/>
      <c r="C226" s="55"/>
      <c r="D226" s="55"/>
      <c r="E226" s="55"/>
      <c r="F226" s="55"/>
      <c r="G226" s="55"/>
      <c r="I226" s="55"/>
      <c r="J226" s="55"/>
      <c r="K226" s="55"/>
      <c r="L226" s="55"/>
      <c r="M226" s="55"/>
      <c r="N226" s="55"/>
      <c r="O226" s="55"/>
      <c r="T226" s="55"/>
      <c r="U226" s="55"/>
      <c r="V226" s="55"/>
    </row>
    <row r="227" spans="2:30" ht="15" customHeight="1" x14ac:dyDescent="0.25">
      <c r="B227" s="55"/>
      <c r="C227" s="55"/>
      <c r="D227" s="55"/>
      <c r="E227" s="55"/>
      <c r="F227" s="55"/>
      <c r="G227" s="55"/>
      <c r="I227" s="55"/>
      <c r="J227" s="55"/>
      <c r="K227" s="55"/>
      <c r="L227" s="55"/>
      <c r="M227" s="55"/>
      <c r="N227" s="55"/>
      <c r="O227" s="55"/>
    </row>
    <row r="228" spans="2:30" ht="15" customHeight="1" x14ac:dyDescent="0.25">
      <c r="B228" s="55"/>
      <c r="C228" s="55"/>
      <c r="D228" s="55"/>
      <c r="E228" s="55"/>
      <c r="F228" s="55"/>
      <c r="G228" s="55"/>
      <c r="I228" s="55"/>
      <c r="J228" s="55"/>
      <c r="K228" s="55"/>
      <c r="L228" s="55"/>
      <c r="M228" s="55"/>
      <c r="N228" s="55"/>
      <c r="O228" s="55"/>
    </row>
    <row r="229" spans="2:30" ht="15" customHeight="1" x14ac:dyDescent="0.25">
      <c r="B229" s="55"/>
      <c r="C229" s="55"/>
      <c r="D229" s="55"/>
      <c r="E229" s="55"/>
      <c r="F229" s="55"/>
      <c r="G229" s="55"/>
      <c r="I229" s="55"/>
      <c r="J229" s="55"/>
      <c r="K229" s="55"/>
    </row>
    <row r="230" spans="2:30" ht="15" customHeight="1" x14ac:dyDescent="0.25">
      <c r="B230" s="55"/>
      <c r="C230" s="55"/>
      <c r="D230" s="55"/>
      <c r="E230" s="55"/>
      <c r="F230" s="55"/>
      <c r="G230" s="55"/>
      <c r="I230" s="55"/>
      <c r="J230" s="55"/>
      <c r="K230" s="55"/>
    </row>
    <row r="231" spans="2:30" ht="15" customHeight="1" x14ac:dyDescent="0.25">
      <c r="B231" s="55"/>
      <c r="C231" s="55"/>
      <c r="D231" s="55"/>
      <c r="E231" s="55"/>
      <c r="F231" s="55"/>
      <c r="G231" s="55"/>
      <c r="I231" s="55"/>
      <c r="J231" s="55"/>
      <c r="K231" s="55"/>
    </row>
    <row r="232" spans="2:30" ht="15" customHeight="1" x14ac:dyDescent="0.25">
      <c r="B232" s="55"/>
      <c r="C232" s="55"/>
      <c r="D232" s="55"/>
      <c r="E232" s="55"/>
      <c r="F232" s="55"/>
      <c r="G232" s="55"/>
      <c r="I232" s="55"/>
      <c r="J232" s="55"/>
      <c r="K232" s="55"/>
    </row>
    <row r="233" spans="2:30" ht="15" customHeight="1" x14ac:dyDescent="0.25">
      <c r="B233" s="55"/>
      <c r="C233" s="55"/>
      <c r="D233" s="55"/>
      <c r="E233" s="55"/>
      <c r="F233" s="55"/>
      <c r="G233" s="55"/>
      <c r="I233" s="55"/>
      <c r="J233" s="55"/>
      <c r="K233" s="55"/>
    </row>
    <row r="234" spans="2:30" ht="15" customHeight="1" x14ac:dyDescent="0.25">
      <c r="B234" s="55"/>
      <c r="C234" s="55"/>
      <c r="D234" s="55"/>
      <c r="E234" s="55"/>
      <c r="F234" s="55"/>
      <c r="G234" s="55"/>
      <c r="I234" s="55"/>
      <c r="J234" s="55"/>
      <c r="K234" s="55"/>
    </row>
    <row r="235" spans="2:30" x14ac:dyDescent="0.25">
      <c r="B235" s="55"/>
      <c r="C235" s="55"/>
      <c r="D235" s="55"/>
      <c r="E235" s="55"/>
      <c r="F235" s="55"/>
      <c r="G235" s="55"/>
      <c r="I235" s="55"/>
      <c r="J235" s="55"/>
      <c r="K235" s="55"/>
    </row>
    <row r="236" spans="2:30" x14ac:dyDescent="0.25">
      <c r="B236" s="55"/>
      <c r="C236" s="55"/>
      <c r="D236" s="55"/>
      <c r="E236" s="55"/>
      <c r="F236" s="55"/>
      <c r="G236" s="55"/>
      <c r="I236" s="55"/>
      <c r="J236" s="55"/>
      <c r="K236" s="55"/>
    </row>
    <row r="237" spans="2:30" x14ac:dyDescent="0.25">
      <c r="B237" s="55"/>
      <c r="C237" s="55"/>
      <c r="D237" s="55"/>
      <c r="E237" s="55"/>
      <c r="F237" s="55"/>
      <c r="G237" s="55"/>
    </row>
    <row r="238" spans="2:30" x14ac:dyDescent="0.25">
      <c r="B238" s="55"/>
      <c r="C238" s="55"/>
      <c r="D238" s="55"/>
      <c r="E238" s="55"/>
      <c r="F238" s="55"/>
      <c r="G238" s="55"/>
    </row>
    <row r="239" spans="2:30" x14ac:dyDescent="0.25">
      <c r="B239" s="55"/>
      <c r="C239" s="55"/>
      <c r="D239" s="55"/>
      <c r="E239" s="55"/>
      <c r="F239" s="55"/>
      <c r="G239" s="55"/>
    </row>
    <row r="240" spans="2:30" x14ac:dyDescent="0.25">
      <c r="B240" s="55"/>
      <c r="C240" s="55"/>
      <c r="D240" s="55"/>
      <c r="E240" s="55"/>
      <c r="F240" s="55"/>
      <c r="G240" s="55"/>
    </row>
    <row r="241" spans="2:7" x14ac:dyDescent="0.25">
      <c r="B241" s="55"/>
      <c r="C241" s="55"/>
      <c r="D241" s="55"/>
      <c r="E241" s="55"/>
      <c r="F241" s="55"/>
      <c r="G241" s="55"/>
    </row>
    <row r="242" spans="2:7" x14ac:dyDescent="0.25">
      <c r="B242" s="55"/>
      <c r="C242" s="55"/>
      <c r="D242" s="55"/>
      <c r="E242" s="55"/>
      <c r="F242" s="55"/>
      <c r="G242" s="55"/>
    </row>
    <row r="243" spans="2:7" x14ac:dyDescent="0.25">
      <c r="B243" s="55"/>
      <c r="C243" s="55"/>
      <c r="D243" s="55"/>
      <c r="E243" s="55"/>
      <c r="F243" s="55"/>
      <c r="G243" s="55"/>
    </row>
    <row r="244" spans="2:7" x14ac:dyDescent="0.25">
      <c r="B244" s="55"/>
      <c r="C244" s="55"/>
      <c r="D244" s="55"/>
      <c r="E244" s="55"/>
      <c r="F244" s="55"/>
      <c r="G244" s="55"/>
    </row>
    <row r="245" spans="2:7" x14ac:dyDescent="0.25">
      <c r="B245" s="55"/>
      <c r="C245" s="55"/>
      <c r="D245" s="55"/>
      <c r="E245" s="55"/>
      <c r="F245" s="55"/>
      <c r="G245" s="55"/>
    </row>
    <row r="246" spans="2:7" x14ac:dyDescent="0.25">
      <c r="B246" s="55"/>
      <c r="C246" s="55"/>
      <c r="D246" s="55"/>
      <c r="E246" s="55"/>
      <c r="F246" s="55"/>
      <c r="G246" s="55"/>
    </row>
    <row r="247" spans="2:7" x14ac:dyDescent="0.25">
      <c r="B247" s="55"/>
      <c r="C247" s="55"/>
      <c r="D247" s="55"/>
      <c r="E247" s="55"/>
      <c r="F247" s="55"/>
      <c r="G247" s="55"/>
    </row>
    <row r="248" spans="2:7" x14ac:dyDescent="0.25">
      <c r="B248" s="55"/>
      <c r="C248" s="55"/>
      <c r="D248" s="55"/>
      <c r="E248" s="55"/>
      <c r="F248" s="55"/>
      <c r="G248" s="55"/>
    </row>
    <row r="249" spans="2:7" x14ac:dyDescent="0.25">
      <c r="B249" s="55"/>
      <c r="C249" s="55"/>
      <c r="D249" s="55"/>
      <c r="E249" s="55"/>
      <c r="F249" s="55"/>
      <c r="G249" s="55"/>
    </row>
    <row r="250" spans="2:7" x14ac:dyDescent="0.25">
      <c r="B250" s="55"/>
      <c r="C250" s="55"/>
      <c r="D250" s="55"/>
      <c r="E250" s="55"/>
      <c r="F250" s="55"/>
      <c r="G250" s="55"/>
    </row>
    <row r="251" spans="2:7" x14ac:dyDescent="0.25">
      <c r="B251" s="55"/>
      <c r="C251" s="55"/>
      <c r="D251" s="55"/>
      <c r="E251" s="55"/>
      <c r="F251" s="55"/>
      <c r="G251" s="55"/>
    </row>
    <row r="252" spans="2:7" x14ac:dyDescent="0.25">
      <c r="B252" s="55"/>
      <c r="C252" s="55"/>
      <c r="D252" s="55"/>
      <c r="E252" s="55"/>
      <c r="F252" s="55"/>
      <c r="G252" s="55"/>
    </row>
    <row r="253" spans="2:7" x14ac:dyDescent="0.25">
      <c r="B253" s="55"/>
      <c r="C253" s="55"/>
      <c r="D253" s="55"/>
      <c r="E253" s="55"/>
      <c r="F253" s="55"/>
      <c r="G253" s="55"/>
    </row>
    <row r="254" spans="2:7" x14ac:dyDescent="0.25">
      <c r="B254" s="55"/>
      <c r="C254" s="55"/>
      <c r="D254" s="55"/>
      <c r="E254" s="55"/>
      <c r="F254" s="55"/>
      <c r="G254" s="55"/>
    </row>
    <row r="255" spans="2:7" x14ac:dyDescent="0.25">
      <c r="B255" s="55"/>
      <c r="C255" s="55"/>
      <c r="D255" s="55"/>
      <c r="E255" s="55"/>
      <c r="F255" s="55"/>
      <c r="G255" s="55"/>
    </row>
    <row r="256" spans="2:7" x14ac:dyDescent="0.25">
      <c r="B256" s="55"/>
      <c r="C256" s="55"/>
      <c r="D256" s="55"/>
      <c r="E256" s="55"/>
      <c r="F256" s="55"/>
      <c r="G256" s="55"/>
    </row>
    <row r="257" spans="2:7" x14ac:dyDescent="0.25">
      <c r="B257" s="55"/>
      <c r="C257" s="55"/>
      <c r="D257" s="55"/>
      <c r="E257" s="55"/>
      <c r="F257" s="55"/>
      <c r="G257" s="55"/>
    </row>
    <row r="258" spans="2:7" x14ac:dyDescent="0.25">
      <c r="B258" s="55"/>
      <c r="C258" s="55"/>
      <c r="D258" s="55"/>
      <c r="E258" s="55"/>
      <c r="F258" s="55"/>
      <c r="G258" s="55"/>
    </row>
    <row r="259" spans="2:7" x14ac:dyDescent="0.25">
      <c r="B259" s="55"/>
      <c r="C259" s="55"/>
      <c r="D259" s="55"/>
      <c r="E259" s="55"/>
      <c r="F259" s="55"/>
      <c r="G259" s="55"/>
    </row>
    <row r="260" spans="2:7" x14ac:dyDescent="0.25">
      <c r="B260" s="55"/>
      <c r="C260" s="55"/>
      <c r="D260" s="55"/>
      <c r="E260" s="55"/>
      <c r="F260" s="55"/>
      <c r="G260" s="55"/>
    </row>
    <row r="261" spans="2:7" x14ac:dyDescent="0.25">
      <c r="B261" s="55"/>
      <c r="C261" s="55"/>
      <c r="D261" s="55"/>
      <c r="E261" s="55"/>
      <c r="F261" s="55"/>
      <c r="G261" s="55"/>
    </row>
    <row r="262" spans="2:7" x14ac:dyDescent="0.25">
      <c r="B262" s="55"/>
      <c r="C262" s="55"/>
      <c r="D262" s="55"/>
      <c r="E262" s="55"/>
      <c r="F262" s="55"/>
      <c r="G262" s="55"/>
    </row>
    <row r="263" spans="2:7" x14ac:dyDescent="0.25">
      <c r="B263" s="55"/>
      <c r="C263" s="55"/>
      <c r="D263" s="55"/>
      <c r="E263" s="55"/>
      <c r="F263" s="55"/>
      <c r="G263" s="55"/>
    </row>
    <row r="264" spans="2:7" x14ac:dyDescent="0.25">
      <c r="B264" s="55"/>
      <c r="C264" s="55"/>
      <c r="D264" s="55"/>
      <c r="E264" s="55"/>
      <c r="F264" s="55"/>
      <c r="G264" s="55"/>
    </row>
    <row r="265" spans="2:7" x14ac:dyDescent="0.25">
      <c r="B265" s="55"/>
      <c r="C265" s="55"/>
      <c r="D265" s="55"/>
      <c r="E265" s="55"/>
      <c r="F265" s="55"/>
      <c r="G265" s="55"/>
    </row>
    <row r="266" spans="2:7" x14ac:dyDescent="0.25">
      <c r="B266" s="55"/>
      <c r="C266" s="55"/>
      <c r="D266" s="55"/>
      <c r="E266" s="55"/>
      <c r="F266" s="55"/>
      <c r="G266" s="55"/>
    </row>
    <row r="267" spans="2:7" x14ac:dyDescent="0.25">
      <c r="B267" s="55"/>
      <c r="C267" s="55"/>
      <c r="D267" s="55"/>
      <c r="E267" s="55"/>
      <c r="F267" s="55"/>
      <c r="G267" s="55"/>
    </row>
    <row r="268" spans="2:7" x14ac:dyDescent="0.25">
      <c r="B268" s="55"/>
      <c r="C268" s="55"/>
      <c r="D268" s="55"/>
      <c r="E268" s="55"/>
      <c r="F268" s="55"/>
      <c r="G268" s="55"/>
    </row>
    <row r="269" spans="2:7" x14ac:dyDescent="0.25">
      <c r="B269" s="55"/>
      <c r="C269" s="55"/>
      <c r="D269" s="55"/>
      <c r="E269" s="55"/>
      <c r="F269" s="55"/>
      <c r="G269" s="55"/>
    </row>
    <row r="270" spans="2:7" x14ac:dyDescent="0.25">
      <c r="B270" s="55"/>
      <c r="C270" s="55"/>
      <c r="D270" s="55"/>
      <c r="E270" s="55"/>
      <c r="F270" s="55"/>
      <c r="G270" s="55"/>
    </row>
    <row r="271" spans="2:7" x14ac:dyDescent="0.25">
      <c r="B271" s="55"/>
      <c r="C271" s="55"/>
      <c r="D271" s="55"/>
      <c r="E271" s="55"/>
      <c r="F271" s="55"/>
      <c r="G271" s="55"/>
    </row>
    <row r="272" spans="2:7" x14ac:dyDescent="0.25">
      <c r="B272" s="55"/>
      <c r="C272" s="55"/>
      <c r="D272" s="55"/>
      <c r="E272" s="55"/>
      <c r="F272" s="55"/>
      <c r="G272" s="55"/>
    </row>
    <row r="273" spans="2:7" x14ac:dyDescent="0.25">
      <c r="B273" s="55"/>
      <c r="C273" s="55"/>
      <c r="D273" s="55"/>
      <c r="E273" s="55"/>
      <c r="F273" s="55"/>
      <c r="G273" s="55"/>
    </row>
    <row r="274" spans="2:7" x14ac:dyDescent="0.25">
      <c r="B274" s="55"/>
      <c r="C274" s="55"/>
      <c r="D274" s="55"/>
      <c r="E274" s="55"/>
      <c r="F274" s="55"/>
      <c r="G274" s="55"/>
    </row>
    <row r="275" spans="2:7" x14ac:dyDescent="0.25">
      <c r="B275" s="55"/>
      <c r="C275" s="55"/>
      <c r="D275" s="55"/>
      <c r="E275" s="55"/>
      <c r="F275" s="55"/>
      <c r="G275" s="55"/>
    </row>
    <row r="276" spans="2:7" x14ac:dyDescent="0.25">
      <c r="B276" s="55"/>
      <c r="C276" s="55"/>
      <c r="D276" s="55"/>
      <c r="E276" s="55"/>
      <c r="F276" s="55"/>
      <c r="G276" s="55"/>
    </row>
    <row r="277" spans="2:7" x14ac:dyDescent="0.25">
      <c r="B277" s="55"/>
      <c r="C277" s="55"/>
      <c r="D277" s="55"/>
      <c r="E277" s="55"/>
      <c r="F277" s="55"/>
      <c r="G277" s="55"/>
    </row>
    <row r="278" spans="2:7" x14ac:dyDescent="0.25">
      <c r="B278" s="55"/>
      <c r="C278" s="55"/>
      <c r="D278" s="55"/>
      <c r="E278" s="55"/>
      <c r="F278" s="55"/>
      <c r="G278" s="55"/>
    </row>
    <row r="279" spans="2:7" x14ac:dyDescent="0.25">
      <c r="B279" s="55"/>
      <c r="C279" s="55"/>
      <c r="D279" s="55"/>
    </row>
    <row r="280" spans="2:7" x14ac:dyDescent="0.25">
      <c r="B280" s="55"/>
    </row>
    <row r="281" spans="2:7" x14ac:dyDescent="0.25">
      <c r="B281" s="55"/>
    </row>
    <row r="282" spans="2:7" x14ac:dyDescent="0.25">
      <c r="B282" s="55"/>
    </row>
    <row r="283" spans="2:7" x14ac:dyDescent="0.25">
      <c r="B283" s="55"/>
    </row>
    <row r="284" spans="2:7" x14ac:dyDescent="0.25">
      <c r="B284" s="55"/>
    </row>
    <row r="285" spans="2:7" x14ac:dyDescent="0.25">
      <c r="B285" s="55"/>
    </row>
  </sheetData>
  <mergeCells count="12">
    <mergeCell ref="B135:D136"/>
    <mergeCell ref="X32:AC33"/>
    <mergeCell ref="Q37:R37"/>
    <mergeCell ref="X44:Y44"/>
    <mergeCell ref="X47:Z48"/>
    <mergeCell ref="B128:D129"/>
    <mergeCell ref="X20:Z21"/>
    <mergeCell ref="B5:G5"/>
    <mergeCell ref="I5:O5"/>
    <mergeCell ref="Q5:V5"/>
    <mergeCell ref="X5:AC5"/>
    <mergeCell ref="X16:Y16"/>
  </mergeCells>
  <pageMargins left="0.25" right="0.25" top="0.75" bottom="0.75" header="0.3" footer="0.3"/>
  <pageSetup paperSize="8"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13</vt:i4>
      </vt:variant>
      <vt:variant>
        <vt:lpstr>Imenovani rasponi</vt:lpstr>
      </vt:variant>
      <vt:variant>
        <vt:i4>1</vt:i4>
      </vt:variant>
    </vt:vector>
  </HeadingPairs>
  <TitlesOfParts>
    <vt:vector size="14" baseType="lpstr">
      <vt:lpstr>OPKK sažetak</vt:lpstr>
      <vt:lpstr>Pozivi u tijeku</vt:lpstr>
      <vt:lpstr>energetika - 4b1</vt:lpstr>
      <vt:lpstr>energetika - 4b2</vt:lpstr>
      <vt:lpstr>OPKK vode</vt:lpstr>
      <vt:lpstr>6ii ostali projekti u pripremi</vt:lpstr>
      <vt:lpstr>Proračun stanje vode</vt:lpstr>
      <vt:lpstr>SC 6i1_1</vt:lpstr>
      <vt:lpstr>SC 6i1_2</vt:lpstr>
      <vt:lpstr>5a1</vt:lpstr>
      <vt:lpstr>SC 6e1 6iii</vt:lpstr>
      <vt:lpstr>OPKK PO1 i PO3</vt:lpstr>
      <vt:lpstr>List1</vt:lpstr>
      <vt:lpstr>'OPKK PO1 i PO3'!Podrucje_ispisa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 Ledenko</dc:creator>
  <cp:lastModifiedBy>Mate Teskera</cp:lastModifiedBy>
  <cp:lastPrinted>2021-04-08T07:40:13Z</cp:lastPrinted>
  <dcterms:created xsi:type="dcterms:W3CDTF">2021-01-15T07:56:14Z</dcterms:created>
  <dcterms:modified xsi:type="dcterms:W3CDTF">2021-04-09T09:50:53Z</dcterms:modified>
</cp:coreProperties>
</file>